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550" windowHeight="5610" activeTab="0"/>
  </bookViews>
  <sheets>
    <sheet name="Rollover" sheetId="1" r:id="rId1"/>
    <sheet name="Current" sheetId="2" r:id="rId2"/>
    <sheet name="SDBIP" sheetId="3" r:id="rId3"/>
  </sheets>
  <definedNames>
    <definedName name="_xlnm.Print_Area" localSheetId="1">'Current'!$A$1:$U$114</definedName>
    <definedName name="_xlnm.Print_Area" localSheetId="0">'Rollover'!$A$1:$Y$68</definedName>
    <definedName name="_xlnm.Print_Area" localSheetId="2">'SDBIP'!$A$1:$G$36</definedName>
    <definedName name="_xlnm.Print_Titles" localSheetId="1">'Current'!$3:$5</definedName>
    <definedName name="_xlnm.Print_Titles" localSheetId="0">'Rollover'!$5:$6</definedName>
  </definedNames>
  <calcPr fullCalcOnLoad="1"/>
</workbook>
</file>

<file path=xl/sharedStrings.xml><?xml version="1.0" encoding="utf-8"?>
<sst xmlns="http://schemas.openxmlformats.org/spreadsheetml/2006/main" count="414" uniqueCount="228">
  <si>
    <t>PROJ NO</t>
  </si>
  <si>
    <t>PROJECT NAME</t>
  </si>
  <si>
    <t>REMAINING</t>
  </si>
  <si>
    <t>LAST PMT</t>
  </si>
  <si>
    <t>RESP MAN</t>
  </si>
  <si>
    <t>COMMENTS BY MANAGER</t>
  </si>
  <si>
    <t>MID</t>
  </si>
  <si>
    <t>DISASTER MANAGEMENT</t>
  </si>
  <si>
    <t>ECONOMIC DEVELOPMENT</t>
  </si>
  <si>
    <t>MPED</t>
  </si>
  <si>
    <t>LAND</t>
  </si>
  <si>
    <t>COMMUNITY PARTICIPATION AND COMMUNICATION</t>
  </si>
  <si>
    <t>MEMO</t>
  </si>
  <si>
    <t>INSTITUTIONAL DEVELOPMENT</t>
  </si>
  <si>
    <t>SPORTS,ARTS AND CULTURE</t>
  </si>
  <si>
    <t>TOTAL ROLLOVER</t>
  </si>
  <si>
    <t xml:space="preserve"> </t>
  </si>
  <si>
    <t>MM</t>
  </si>
  <si>
    <t>ACTUAL % SPENT</t>
  </si>
  <si>
    <t>MSDCS</t>
  </si>
  <si>
    <t>TOTAL APPROVED BUDGET</t>
  </si>
  <si>
    <t>DM-08</t>
  </si>
  <si>
    <t>DM-17</t>
  </si>
  <si>
    <t>Signage</t>
  </si>
  <si>
    <t>Integrated Financial Management System</t>
  </si>
  <si>
    <t>CFO</t>
  </si>
  <si>
    <t>ABATTOIR</t>
  </si>
  <si>
    <t>COMMUNITY PARTICIPATION &amp; GOOD GOVERNANCE</t>
  </si>
  <si>
    <t>CO-20</t>
  </si>
  <si>
    <t>Anti-fraud Hotline</t>
  </si>
  <si>
    <t>Co-ordination of Sports, Arts and Culture</t>
  </si>
  <si>
    <t>CAPITAL EXPENDITURE AGAINST SDBIP TARGETS</t>
  </si>
  <si>
    <t>Proj IDP</t>
  </si>
  <si>
    <t>Act Capex</t>
  </si>
  <si>
    <t>% SPENT</t>
  </si>
  <si>
    <t>Vote Nr</t>
  </si>
  <si>
    <t xml:space="preserve">R </t>
  </si>
  <si>
    <t>Expenditure and Revenue by Vote</t>
  </si>
  <si>
    <t>001</t>
  </si>
  <si>
    <t xml:space="preserve"> -   </t>
  </si>
  <si>
    <t>002</t>
  </si>
  <si>
    <t>Office of the Municipal Manager</t>
  </si>
  <si>
    <t>003</t>
  </si>
  <si>
    <t>Corporate Support &amp; Shared Services</t>
  </si>
  <si>
    <t>004</t>
  </si>
  <si>
    <t>Planning and Economic Development</t>
  </si>
  <si>
    <t>005</t>
  </si>
  <si>
    <t>Infrastructure Development</t>
  </si>
  <si>
    <t>006</t>
  </si>
  <si>
    <t>Office of the Executive Mayor</t>
  </si>
  <si>
    <t>007</t>
  </si>
  <si>
    <t>Social Development &amp; Community Services</t>
  </si>
  <si>
    <t>008</t>
  </si>
  <si>
    <t>009</t>
  </si>
  <si>
    <t>020</t>
  </si>
  <si>
    <t>Abattoir</t>
  </si>
  <si>
    <t>Total By Vote (Balanced to Cash Flow)</t>
  </si>
  <si>
    <t>Proj Roll Over</t>
  </si>
  <si>
    <t>Act Roll Over</t>
  </si>
  <si>
    <t>Disaster</t>
  </si>
  <si>
    <t>Health</t>
  </si>
  <si>
    <t>Resp Mng</t>
  </si>
  <si>
    <t>Budget &amp; Treasury Office</t>
  </si>
  <si>
    <t>CSSS</t>
  </si>
  <si>
    <t>PROJ YEAR</t>
  </si>
  <si>
    <t>BUDGET AMOUNT</t>
  </si>
  <si>
    <t>Due to:</t>
  </si>
  <si>
    <t>Modimolle &amp; Bela Bela Security Cameras</t>
  </si>
  <si>
    <t>Wildlife Centre, Skills Strategy (new), Biosphere Strategy (new)</t>
  </si>
  <si>
    <t>Conveyancing</t>
  </si>
  <si>
    <t>Communication &amp; Summits</t>
  </si>
  <si>
    <t>Savings</t>
  </si>
  <si>
    <t>2009 &amp; 2010</t>
  </si>
  <si>
    <t>Feasibility Study of the Wildlife Centre</t>
  </si>
  <si>
    <t>Service Delivery Summit</t>
  </si>
  <si>
    <t>Municipal Environmental Health &amp; Environmental Management</t>
  </si>
  <si>
    <t>Waste Management - development of landfill sites - initiation of partnerships / PPP</t>
  </si>
  <si>
    <t>MMO</t>
  </si>
  <si>
    <t>ID</t>
  </si>
  <si>
    <t>PED</t>
  </si>
  <si>
    <t>EMO</t>
  </si>
  <si>
    <t>SDCS</t>
  </si>
  <si>
    <t>Incident Management System</t>
  </si>
  <si>
    <t>Disaster Risk Awareness Program</t>
  </si>
  <si>
    <t>Disaster Risk Management Toll Free Number &amp; promotional signage</t>
  </si>
  <si>
    <t>Information management, communication &amp; dissemination system</t>
  </si>
  <si>
    <t>Risk reduction measures for drought</t>
  </si>
  <si>
    <t>Bela Bela Skid Units &amp; Equipment for main fire station, Masakhane, Pienaarsrivier &amp; Rapotokwane</t>
  </si>
  <si>
    <t>Mogalakwena - new Rescue Pumper</t>
  </si>
  <si>
    <t>Upgrading of existing trained volunteers to minimum requirements for full time fire fighters (phase 2)</t>
  </si>
  <si>
    <t>Fire Fighting</t>
  </si>
  <si>
    <t>Disaster Management</t>
  </si>
  <si>
    <t>Local Economic Development &amp; Tourism</t>
  </si>
  <si>
    <t>Municipal Roads &amp; Storm Water</t>
  </si>
  <si>
    <t>Municipal Support &amp; Institutional Development</t>
  </si>
  <si>
    <t>Procurement of Movable Assets</t>
  </si>
  <si>
    <t>Performance Management System (PMS)</t>
  </si>
  <si>
    <t>Geographic Information System (GIS)</t>
  </si>
  <si>
    <t>Financial Strategy</t>
  </si>
  <si>
    <t>UE-29</t>
  </si>
  <si>
    <t>UE-34</t>
  </si>
  <si>
    <t>UE-42</t>
  </si>
  <si>
    <t>UE-43</t>
  </si>
  <si>
    <t>CO-24</t>
  </si>
  <si>
    <t>IN-17</t>
  </si>
  <si>
    <t>IN-27</t>
  </si>
  <si>
    <t>SC-07</t>
  </si>
  <si>
    <t>IN-22</t>
  </si>
  <si>
    <t>IN-24</t>
  </si>
  <si>
    <t>BTO</t>
  </si>
  <si>
    <t>Upgrading of the abattoir (phase 2)</t>
  </si>
  <si>
    <t>CBD Development Plan &amp; Implementation (Bela Bela, Modimolle &amp; Mogalakwena)</t>
  </si>
  <si>
    <t>Land</t>
  </si>
  <si>
    <t>Transport</t>
  </si>
  <si>
    <t>Safety &amp; Security</t>
  </si>
  <si>
    <t>Sports, Arts &amp; Culture</t>
  </si>
  <si>
    <t>Electricity</t>
  </si>
  <si>
    <t>SE-05</t>
  </si>
  <si>
    <t>DM-22</t>
  </si>
  <si>
    <t>DM-23</t>
  </si>
  <si>
    <t>DM-24</t>
  </si>
  <si>
    <t>DM-25</t>
  </si>
  <si>
    <t>DM-26</t>
  </si>
  <si>
    <t>DM-27</t>
  </si>
  <si>
    <t>DM-29</t>
  </si>
  <si>
    <t>RS-40</t>
  </si>
  <si>
    <t>IN-34</t>
  </si>
  <si>
    <t>IN-36</t>
  </si>
  <si>
    <t>LA-12</t>
  </si>
  <si>
    <t>PAID P/YEARS</t>
  </si>
  <si>
    <t>SE-13</t>
  </si>
  <si>
    <t>Bela Bela Paving - Radium - 1.3km</t>
  </si>
  <si>
    <t>Completion of Modimolle Ring Road in Phagameng - 1,603km</t>
  </si>
  <si>
    <t>ROADS &amp; STORM WATER</t>
  </si>
  <si>
    <t>CONSTRUCTION OF LEPHALALE DISASTER MANAGEMENT CENTRE</t>
  </si>
  <si>
    <t>RS-21</t>
  </si>
  <si>
    <t>DM-02</t>
  </si>
  <si>
    <t>PAID 10/11 YEAR</t>
  </si>
  <si>
    <t>Project cancelled, transferred to Purchase of Unimog - Modimolle.</t>
  </si>
  <si>
    <t>Early Warning System of Flood lines</t>
  </si>
  <si>
    <t>Savings Dec 2010</t>
  </si>
  <si>
    <t>Air Quality Emissions Inventory</t>
  </si>
  <si>
    <t>Project completed.</t>
  </si>
  <si>
    <t>Savings Jan 2011</t>
  </si>
  <si>
    <t>PED to report on behalf of WEDA board. Bank account has not yet been opened for WEDA, thus no access to new R 1.5 million in 10/11 IDP.</t>
  </si>
  <si>
    <t>08&amp;09</t>
  </si>
  <si>
    <t>Adj Budget</t>
  </si>
  <si>
    <t>Re-budget in 11/12</t>
  </si>
  <si>
    <t>Forecast Roll Over 30 June 2011</t>
  </si>
  <si>
    <t>Forecast Spending 30 June 2011</t>
  </si>
  <si>
    <t>Project complete</t>
  </si>
  <si>
    <t xml:space="preserve"> Arrive alive campaign has been planned for Easter Holiday period</t>
  </si>
  <si>
    <t>Operating</t>
  </si>
  <si>
    <t>Capital</t>
  </si>
  <si>
    <t>Adjusted Budget 10/11</t>
  </si>
  <si>
    <t>Total</t>
  </si>
  <si>
    <t>Groblersbrug Port of Entry / Tom Burke Satellite Fire Station - Water Trailer &amp; Equipm &amp; Steenbokpan &amp; Bulgerivier Satellite Fire Station - Water Trailer &amp; Equipment &amp; Villages / Witpoort Fire Station - Equipment</t>
  </si>
  <si>
    <t>Savings Feb 2011</t>
  </si>
  <si>
    <t>Consultant Final designs completed in Feb 2011. Construction advertised in March 2011.</t>
  </si>
  <si>
    <t>Contractor appointed in December 2010 for Phase 2. Construction ongoing.</t>
  </si>
  <si>
    <t>Funds removed during Adj Budget. Project included in 11/12 tabled IDP to assist Mogalakwena.</t>
  </si>
  <si>
    <t>Savings Mar 2011</t>
  </si>
  <si>
    <t>Preparations of the summit underway - earmarked for end April 2011</t>
  </si>
  <si>
    <t>OR Tambo Games scheduled for the last week of May 2011. Adj budget R 456,834 to be used for Endurance Challenge in April 2011.</t>
  </si>
  <si>
    <t>Savings March 2011</t>
  </si>
  <si>
    <t>Farm workers campaign to be conducted on the 10th and 17th April 2011</t>
  </si>
  <si>
    <t>Development of the Communications &amp; Community participation Startegy, advert to be placed on Notice Board by end March</t>
  </si>
  <si>
    <t>Diaries to be delivered on the 8 March 2011 - Completed</t>
  </si>
  <si>
    <t>Visit to Kgatleng District - 6-8 April 2011</t>
  </si>
  <si>
    <t>Elderly Event scheduled for the 16 March 2011 - remainder of the budget to be declared a saving</t>
  </si>
  <si>
    <t xml:space="preserve">Still awaiting date of the District AIDS Council launch </t>
  </si>
  <si>
    <t>Capacity building workshop for the leadership of sport federations for people with disabilities scheduled for 13th May 2011</t>
  </si>
  <si>
    <t>Youth Summit by end April - preparations ongoing</t>
  </si>
  <si>
    <t>Orientation workshop for new members of Safety &amp; Security Forum by end May 2011</t>
  </si>
  <si>
    <t xml:space="preserve">Renamed OR Tambo Games as per proposal to council - scheduled for end May 2011 </t>
  </si>
  <si>
    <t>Project Completed</t>
  </si>
  <si>
    <t>Moral Regeneration Conference - end April 2011</t>
  </si>
  <si>
    <t>The Unit is ordered by Marce Fire Fighting Technology at E-One in the USA and the work will commence as soon as the Chassis is received by E-One. The work is on schedule as per the 10 months appointment duration.</t>
  </si>
  <si>
    <t>These fire equipment not yet delivered by the appointed Service Provider, Moipone Group of Companies. The time frame for their delivery have elapsed and the Project Manager is conducting consecutive follow-ups on a weekly basis.</t>
  </si>
  <si>
    <t xml:space="preserve">The 1st site inspection meeting held on Thursday, 17th February 2011 in Boksburg where the TATA chassis was inspected and as a result the 50% payment was recommended by the Project Manager. The work is on schedule as per the 10 months appointment duration. </t>
  </si>
  <si>
    <t>All parts to upgrade the Unit is in stock (Marce Fire Fighting Technology) and the work will commence very soon. The 3 months delivery time frame is on schedule.</t>
  </si>
  <si>
    <t>The Bid was re-advertised due to Moipone Group of Companies have withdrawn the tender. Limited bidding was approved by the Municipal Manager and the SCMU will do the necessary arrangements for calling the selected Service Providers for the compulsory briefing session.</t>
  </si>
  <si>
    <t>Limited bidding was approved by the Municipal Manager and the SCMU will do the necessary arrangements for calling the selected Service Providers for the compulsory  briefing session.</t>
  </si>
  <si>
    <t>These equipment for Lephalale were delivered in good order by the appointed Service Provider, Marce Fire Fighting Technology on Tuesday, 01 March 2011. This project is officially closed.</t>
  </si>
  <si>
    <t>These quipment for Lephalale were delivered in good order by the appointed Service Provider, Marce Fire Fighting Technology on Tuesday, 01 February 2011. This project is officially closed.</t>
  </si>
  <si>
    <t>Appointment letter issued on 14 March at hand over meeting.</t>
  </si>
  <si>
    <t>Cordination of the project in collaboration with Modimolle is going on</t>
  </si>
  <si>
    <t>The project has been completed. The outstanding funds will be utilized for the billboards</t>
  </si>
  <si>
    <t xml:space="preserve">work is going on. Should be able to secure the new equipment the the next two weeks. Tender for Bela-Bela is closing on Friday the 25 of March </t>
  </si>
  <si>
    <t>Preparations for Indaba are underway</t>
  </si>
  <si>
    <t>Work has been completed, awaiting the final invoice</t>
  </si>
  <si>
    <t>Working on billboard assignment.</t>
  </si>
  <si>
    <t xml:space="preserve"> The status quo and the analysis for all the three projects has been completed. Should be able to complete by May the end.</t>
  </si>
  <si>
    <t>Presentation of the analysis and the status quo has been presented</t>
  </si>
  <si>
    <t>The tender closed on 23 August 2010. Due to errors by SITA on the tender document the project was officially cancelled by SITA in December 2010. WDM to restart the process on its own, no longer utilising the assistance of SITA. Awaiting formal letter from SITA.</t>
  </si>
  <si>
    <t>Awating for BEC Committee to Sit.</t>
  </si>
  <si>
    <t>Second phase has been completed and submitted to WDM.</t>
  </si>
  <si>
    <t>Third Phase has been completed and Submitted to WDM</t>
  </si>
  <si>
    <t>IDP Rep Forum held in March 2011</t>
  </si>
  <si>
    <t>The project is running, The monthly retainer  invoices for December and january  have been received  and are under processing.</t>
  </si>
  <si>
    <t>Feedback was obtained from various stakeholders and industry experts on what is required from a Finance Strategy. Currently preparing specifications. To be done concurrent with 12/13 IDP process</t>
  </si>
  <si>
    <t>It's a 2 months project awarded to Moipone Group of Companies ( Pty) Ltd in order to run from 02 December 2010 to 02 February 2011. No updated comment.</t>
  </si>
  <si>
    <t xml:space="preserve"> Procured only Airconditioners and the Furniture for Lephalale Disaster Centre.  Departments have submitted their request for furniture and TOR for these furnitures not yet completed. No updated comment.</t>
  </si>
  <si>
    <t>Irregular expenditure of 30 June 2010 has been ratified. Item for extension of service of IPM  approved by MM. No updated comment.</t>
  </si>
  <si>
    <t>Approved a Skills Development Strategy project of Lephalale to the amount of R 400,000. Currently considering 'n movable asset procurement request to the amount of R 600,000. No updated comment.</t>
  </si>
  <si>
    <t>DPLH has project on Land Audit for the entire Limpopo which will also cover Waterberg. Again the  TOR of this have also been covered by the Conveyancing Project.  Project removed.</t>
  </si>
  <si>
    <t>Awaiting for the Records of Decisions</t>
  </si>
  <si>
    <t>BEC meeting held on the 25th of March 2011,the appointment would be done probably by month end(March 2011).it is a three months project</t>
  </si>
  <si>
    <t>consolidation of gaps identified during visits to local municipalities and a workshop is to be held on the 30/03/2011</t>
  </si>
  <si>
    <t>CSSS department is processing the enrolment of the identified three EHP's which should be concluded by 31/03/2011</t>
  </si>
  <si>
    <t xml:space="preserve">service provider appointed and inception meeting held last month and a workshop to be held on the 30/03/2011 </t>
  </si>
  <si>
    <t>the programme started and ensaged to be through by end of April 2011</t>
  </si>
  <si>
    <t>The received quotes are far above the budget. Still sourcing quotations that will be within the budget</t>
  </si>
  <si>
    <t xml:space="preserve">The Draft By-Laws has been submiited to DPLG for promulgation. DPLG still working on them and the Invoice will be sent to us oncne the By-laws has been promulgated. To obtain written quotation from DPLG for approximate R 120,000 and issue order. </t>
  </si>
  <si>
    <t>Final savings June 2011</t>
  </si>
  <si>
    <t>TOTAL SPENT UP TO 30 June 2011</t>
  </si>
  <si>
    <t>RS041</t>
  </si>
  <si>
    <t>Mogalakwena Streets tarring</t>
  </si>
  <si>
    <t>Total Spent per Department</t>
  </si>
  <si>
    <t>Dpt 5</t>
  </si>
  <si>
    <t>Dpt 7</t>
  </si>
  <si>
    <t>UNSPENT AT 30 JUNE 2011</t>
  </si>
  <si>
    <t>SPENT 11/12 YEAR</t>
  </si>
  <si>
    <t>2010 &amp; 2011</t>
  </si>
  <si>
    <t>PROJECT STATUS REPORT - 11/12 YEAR PROJECTS</t>
  </si>
  <si>
    <t>SDCS Health</t>
  </si>
  <si>
    <t>Total 10/11 Roll Over IDP projects</t>
  </si>
  <si>
    <t>Annexure A</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</si>
</sst>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d\-mmm\-yy"/>
    <numFmt numFmtId="165" formatCode="#,##0.00_);[Red]\(#,##0.00\)"/>
    <numFmt numFmtId="166" formatCode="0.00;[Red]0.00"/>
    <numFmt numFmtId="167" formatCode="#,##0.00;[Red]#,##0.00"/>
    <numFmt numFmtId="168" formatCode="_(* #,##0_);_(* \(#,##0\);_(* &quot;-&quot;??_);_(@_)"/>
    <numFmt numFmtId="169" formatCode="###\ ###\ ##0"/>
    <numFmt numFmtId="170" formatCode="_(* #,##0.00_);_(* \(#,##0.00\);_(* &quot;-&quot;??_);_(@_)"/>
    <numFmt numFmtId="171" formatCode="_ * #,##0.0_ ;_ * \-#,##0.0_ ;_ * &quot;-&quot;??_ ;_ @_ "/>
    <numFmt numFmtId="172" formatCode="_ * #,##0_ ;_ * \-#,##0_ ;_ * &quot;-&quot;??_ ;_ @_ "/>
    <numFmt numFmtId="173" formatCode="#,##0.0"/>
    <numFmt numFmtId="174" formatCode="0.0%"/>
    <numFmt numFmtId="175" formatCode="_(* #,##0_);_(* \(#,##0\);_(* \-??_);_(@_)"/>
    <numFmt numFmtId="176" formatCode="0.00000000"/>
    <numFmt numFmtId="177" formatCode="0.0000000"/>
    <numFmt numFmtId="178" formatCode="0.000000"/>
    <numFmt numFmtId="179" formatCode="0.00000"/>
    <numFmt numFmtId="180" formatCode="0.0000"/>
    <numFmt numFmtId="181" formatCode="0.000"/>
    <numFmt numFmtId="182" formatCode="_ * #,##0.000_ ;_ * \-#,##0.000_ ;_ * &quot;-&quot;??_ ;_ @_ "/>
    <numFmt numFmtId="183" formatCode="_ * #,##0.0000_ ;_ * \-#,##0.0000_ ;_ * &quot;-&quot;??_ ;_ @_ "/>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b/>
      <sz val="10"/>
      <name val="Arial"/>
      <family val="2"/>
    </font>
    <font>
      <b/>
      <sz val="10"/>
      <color indexed="8"/>
      <name val="Arial"/>
      <family val="2"/>
    </font>
    <font>
      <b/>
      <sz val="12"/>
      <name val="Arial"/>
      <family val="2"/>
    </font>
    <font>
      <sz val="12"/>
      <name val="Arial"/>
      <family val="2"/>
    </font>
    <font>
      <sz val="12"/>
      <color indexed="8"/>
      <name val="Arial"/>
      <family val="2"/>
    </font>
    <font>
      <b/>
      <sz val="16"/>
      <name val="Arial"/>
      <family val="2"/>
    </font>
    <font>
      <b/>
      <u val="single"/>
      <sz val="12"/>
      <name val="Arial"/>
      <family val="2"/>
    </font>
    <font>
      <u val="single"/>
      <sz val="12"/>
      <name val="Arial"/>
      <family val="2"/>
    </font>
    <font>
      <b/>
      <sz val="12"/>
      <color indexed="8"/>
      <name val="Arial"/>
      <family val="2"/>
    </font>
    <font>
      <b/>
      <u val="single"/>
      <sz val="10"/>
      <name val="Arial"/>
      <family val="2"/>
    </font>
    <font>
      <b/>
      <sz val="10"/>
      <color indexed="10"/>
      <name val="Arial"/>
      <family val="2"/>
    </font>
    <font>
      <sz val="10"/>
      <color rgb="FFFF0000"/>
      <name val="Arial"/>
      <family val="2"/>
    </font>
    <font>
      <b/>
      <sz val="10"/>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99FFCC"/>
        <bgColor indexed="64"/>
      </patternFill>
    </fill>
    <fill>
      <patternFill patternType="solid">
        <fgColor rgb="FFFFFF00"/>
        <bgColor indexed="64"/>
      </patternFill>
    </fill>
    <fill>
      <patternFill patternType="solid">
        <fgColor rgb="FFFFCCFF"/>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color indexed="23"/>
      </top>
      <bottom>
        <color indexed="63"/>
      </bottom>
    </border>
    <border>
      <left>
        <color indexed="63"/>
      </left>
      <right style="double">
        <color indexed="23"/>
      </right>
      <top style="double">
        <color indexed="23"/>
      </top>
      <bottom>
        <color indexed="63"/>
      </bottom>
    </border>
    <border>
      <left style="double">
        <color indexed="23"/>
      </left>
      <right>
        <color indexed="63"/>
      </right>
      <top>
        <color indexed="63"/>
      </top>
      <bottom style="double">
        <color indexed="23"/>
      </bottom>
    </border>
    <border>
      <left>
        <color indexed="63"/>
      </left>
      <right>
        <color indexed="63"/>
      </right>
      <top>
        <color indexed="63"/>
      </top>
      <bottom style="double">
        <color indexed="23"/>
      </bottom>
    </border>
    <border>
      <left>
        <color indexed="63"/>
      </left>
      <right style="double">
        <color indexed="23"/>
      </right>
      <top>
        <color indexed="63"/>
      </top>
      <bottom style="double">
        <color indexed="23"/>
      </bottom>
    </border>
    <border>
      <left style="double">
        <color indexed="23"/>
      </left>
      <right>
        <color indexed="63"/>
      </right>
      <top style="double">
        <color indexed="23"/>
      </top>
      <bottom>
        <color indexed="63"/>
      </bottom>
    </border>
    <border>
      <left style="double">
        <color indexed="23"/>
      </left>
      <right style="double">
        <color indexed="23"/>
      </right>
      <top style="double">
        <color indexed="23"/>
      </top>
      <bottom style="double">
        <color indexed="23"/>
      </bottom>
    </border>
    <border>
      <left style="double">
        <color indexed="23"/>
      </left>
      <right style="double">
        <color indexed="23"/>
      </right>
      <top>
        <color indexed="63"/>
      </top>
      <bottom style="double">
        <color indexed="23"/>
      </bottom>
    </border>
    <border>
      <left style="double">
        <color indexed="23"/>
      </left>
      <right>
        <color indexed="63"/>
      </right>
      <top>
        <color indexed="63"/>
      </top>
      <bottom>
        <color indexed="63"/>
      </bottom>
    </border>
    <border>
      <left>
        <color indexed="63"/>
      </left>
      <right style="double">
        <color indexed="23"/>
      </right>
      <top>
        <color indexed="63"/>
      </top>
      <bottom>
        <color indexed="63"/>
      </bottom>
    </border>
    <border>
      <left style="double">
        <color indexed="23"/>
      </left>
      <right>
        <color indexed="63"/>
      </right>
      <top style="double">
        <color indexed="23"/>
      </top>
      <bottom style="double">
        <color indexed="23"/>
      </bottom>
    </border>
    <border>
      <left>
        <color indexed="63"/>
      </left>
      <right style="double">
        <color indexed="23"/>
      </right>
      <top style="double">
        <color indexed="23"/>
      </top>
      <bottom style="double">
        <color indexed="2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color indexed="63"/>
      </top>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style="thin"/>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medium"/>
      <top style="thin">
        <color indexed="8"/>
      </top>
      <bottom style="mediu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style="medium"/>
    </border>
    <border>
      <left style="medium"/>
      <right style="medium"/>
      <top style="medium"/>
      <bottom style="medium"/>
    </border>
    <border>
      <left style="thin">
        <color indexed="8"/>
      </left>
      <right>
        <color indexed="63"/>
      </right>
      <top style="thin">
        <color indexed="8"/>
      </top>
      <bottom>
        <color indexed="63"/>
      </bottom>
    </border>
    <border>
      <left style="thin">
        <color indexed="8"/>
      </left>
      <right>
        <color indexed="63"/>
      </right>
      <top style="thin">
        <color indexed="8"/>
      </top>
      <bottom style="medium"/>
    </border>
    <border>
      <left style="thin">
        <color indexed="8"/>
      </left>
      <right style="thin"/>
      <top style="thin">
        <color indexed="8"/>
      </top>
      <bottom style="thin">
        <color indexed="8"/>
      </bottom>
    </border>
    <border>
      <left style="thin">
        <color indexed="8"/>
      </left>
      <right style="thin"/>
      <top style="thin"/>
      <bottom style="thin"/>
    </border>
    <border>
      <left style="thin">
        <color indexed="8"/>
      </left>
      <right style="thin"/>
      <top style="thin"/>
      <bottom style="thin">
        <color indexed="8"/>
      </bottom>
    </border>
    <border>
      <left style="thin">
        <color indexed="8"/>
      </left>
      <right style="thin"/>
      <top style="thin">
        <color indexed="8"/>
      </top>
      <bottom style="thin"/>
    </border>
    <border>
      <left style="thin"/>
      <right>
        <color indexed="63"/>
      </right>
      <top style="thin"/>
      <bottom style="thin"/>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medium"/>
      <bottom style="medium"/>
    </border>
    <border>
      <left>
        <color indexed="63"/>
      </left>
      <right style="medium"/>
      <top style="medium"/>
      <bottom style="medium"/>
    </border>
    <border>
      <left style="double">
        <color indexed="23"/>
      </left>
      <right style="double">
        <color indexed="23"/>
      </right>
      <top style="double">
        <color indexed="23"/>
      </top>
      <bottom>
        <color indexed="63"/>
      </bottom>
    </border>
    <border>
      <left style="double">
        <color indexed="23"/>
      </left>
      <right style="double">
        <color indexed="23"/>
      </right>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0" fontId="0" fillId="0" borderId="0" applyFont="0" applyFill="0" applyBorder="0" applyAlignment="0" applyProtection="0"/>
    <xf numFmtId="43" fontId="0" fillId="0" borderId="0" applyFill="0" applyBorder="0" applyAlignment="0" applyProtection="0"/>
    <xf numFmtId="164"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69">
    <xf numFmtId="0" fontId="0" fillId="0" borderId="0" xfId="0" applyAlignment="1">
      <alignment/>
    </xf>
    <xf numFmtId="49" fontId="22" fillId="24" borderId="10" xfId="81" applyNumberFormat="1" applyFont="1" applyFill="1" applyBorder="1" applyAlignment="1">
      <alignment horizontal="center" vertical="center"/>
      <protection/>
    </xf>
    <xf numFmtId="49" fontId="22" fillId="24" borderId="11" xfId="81" applyNumberFormat="1" applyFont="1" applyFill="1" applyBorder="1" applyAlignment="1">
      <alignment horizontal="center" vertical="center"/>
      <protection/>
    </xf>
    <xf numFmtId="49" fontId="22" fillId="24" borderId="12" xfId="81" applyNumberFormat="1" applyFont="1" applyFill="1" applyBorder="1" applyAlignment="1">
      <alignment horizontal="center" vertical="center"/>
      <protection/>
    </xf>
    <xf numFmtId="49" fontId="22" fillId="24" borderId="13" xfId="81" applyNumberFormat="1" applyFont="1" applyFill="1" applyBorder="1" applyAlignment="1">
      <alignment horizontal="center" vertical="center"/>
      <protection/>
    </xf>
    <xf numFmtId="49" fontId="22" fillId="24" borderId="14" xfId="81" applyNumberFormat="1" applyFont="1" applyFill="1" applyBorder="1" applyAlignment="1">
      <alignment horizontal="center" vertical="center"/>
      <protection/>
    </xf>
    <xf numFmtId="49" fontId="22" fillId="24" borderId="15" xfId="81" applyNumberFormat="1" applyFont="1" applyFill="1" applyBorder="1" applyAlignment="1">
      <alignment horizontal="left" vertical="center"/>
      <protection/>
    </xf>
    <xf numFmtId="0" fontId="0" fillId="0" borderId="0" xfId="0" applyAlignment="1">
      <alignment vertical="center"/>
    </xf>
    <xf numFmtId="0" fontId="19" fillId="0" borderId="0" xfId="0" applyFont="1" applyBorder="1" applyAlignment="1">
      <alignment vertical="center"/>
    </xf>
    <xf numFmtId="0" fontId="18" fillId="0" borderId="0" xfId="0" applyFont="1" applyFill="1" applyBorder="1" applyAlignment="1">
      <alignment vertical="center"/>
    </xf>
    <xf numFmtId="0" fontId="20" fillId="0" borderId="0" xfId="0" applyFont="1" applyFill="1" applyBorder="1" applyAlignment="1">
      <alignment horizontal="center" vertical="center"/>
    </xf>
    <xf numFmtId="0" fontId="18"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22" fillId="24" borderId="16" xfId="81" applyFont="1" applyFill="1" applyBorder="1" applyAlignment="1">
      <alignment vertical="center"/>
      <protection/>
    </xf>
    <xf numFmtId="49" fontId="22" fillId="24" borderId="17" xfId="81" applyNumberFormat="1" applyFont="1" applyFill="1" applyBorder="1" applyAlignment="1">
      <alignment vertical="center" wrapText="1"/>
      <protection/>
    </xf>
    <xf numFmtId="0" fontId="22" fillId="24" borderId="18" xfId="81" applyFont="1" applyFill="1" applyBorder="1" applyAlignment="1">
      <alignment horizontal="center" vertical="center" wrapText="1"/>
      <protection/>
    </xf>
    <xf numFmtId="0" fontId="22" fillId="24" borderId="19" xfId="81" applyFont="1" applyFill="1" applyBorder="1" applyAlignment="1">
      <alignment horizontal="center" vertical="center" wrapText="1"/>
      <protection/>
    </xf>
    <xf numFmtId="49" fontId="23" fillId="0" borderId="16" xfId="81" applyNumberFormat="1" applyFont="1" applyFill="1" applyBorder="1" applyAlignment="1">
      <alignment vertical="center"/>
      <protection/>
    </xf>
    <xf numFmtId="0" fontId="26" fillId="0" borderId="18" xfId="81" applyFont="1" applyFill="1" applyBorder="1" applyAlignment="1">
      <alignment horizontal="left" vertical="center" wrapText="1"/>
      <protection/>
    </xf>
    <xf numFmtId="0" fontId="26" fillId="0" borderId="19" xfId="81" applyFont="1" applyFill="1" applyBorder="1" applyAlignment="1">
      <alignment horizontal="left" vertical="center" wrapText="1"/>
      <protection/>
    </xf>
    <xf numFmtId="3" fontId="26" fillId="0" borderId="16" xfId="81" applyNumberFormat="1" applyFont="1" applyFill="1" applyBorder="1" applyAlignment="1">
      <alignment vertical="center"/>
      <protection/>
    </xf>
    <xf numFmtId="3" fontId="26" fillId="0" borderId="16" xfId="81" applyNumberFormat="1" applyFont="1" applyFill="1" applyBorder="1" applyAlignment="1">
      <alignment horizontal="center" vertical="center"/>
      <protection/>
    </xf>
    <xf numFmtId="0" fontId="23" fillId="0" borderId="20" xfId="81" applyFont="1" applyFill="1" applyBorder="1" applyAlignment="1">
      <alignment horizontal="center" vertical="center" wrapText="1"/>
      <protection/>
    </xf>
    <xf numFmtId="0" fontId="23" fillId="0" borderId="21" xfId="81" applyFont="1" applyFill="1" applyBorder="1" applyAlignment="1">
      <alignment horizontal="center" vertical="center" wrapText="1"/>
      <protection/>
    </xf>
    <xf numFmtId="3" fontId="23" fillId="0" borderId="16" xfId="81" applyNumberFormat="1" applyFont="1" applyFill="1" applyBorder="1" applyAlignment="1">
      <alignment horizontal="right" vertical="center"/>
      <protection/>
    </xf>
    <xf numFmtId="3" fontId="27" fillId="0" borderId="16" xfId="81" applyNumberFormat="1" applyFont="1" applyFill="1" applyBorder="1" applyAlignment="1">
      <alignment horizontal="center" vertical="center"/>
      <protection/>
    </xf>
    <xf numFmtId="0" fontId="23" fillId="0" borderId="20" xfId="81" applyFont="1" applyFill="1" applyBorder="1" applyAlignment="1">
      <alignment horizontal="left" vertical="center" wrapText="1"/>
      <protection/>
    </xf>
    <xf numFmtId="0" fontId="23" fillId="0" borderId="21" xfId="81" applyFont="1" applyFill="1" applyBorder="1" applyAlignment="1">
      <alignment horizontal="left" vertical="center" wrapText="1"/>
      <protection/>
    </xf>
    <xf numFmtId="168" fontId="23" fillId="0" borderId="16" xfId="51" applyNumberFormat="1" applyFont="1" applyFill="1" applyBorder="1" applyAlignment="1">
      <alignment horizontal="right" vertical="center"/>
    </xf>
    <xf numFmtId="168" fontId="23" fillId="0" borderId="16" xfId="52" applyNumberFormat="1" applyFont="1" applyFill="1" applyBorder="1" applyAlignment="1">
      <alignment horizontal="right" vertical="center"/>
    </xf>
    <xf numFmtId="9" fontId="23" fillId="0" borderId="16" xfId="106" applyFont="1" applyFill="1" applyBorder="1" applyAlignment="1">
      <alignment horizontal="right" vertical="center"/>
    </xf>
    <xf numFmtId="3" fontId="23" fillId="0" borderId="16" xfId="81" applyNumberFormat="1" applyFont="1" applyFill="1" applyBorder="1" applyAlignment="1">
      <alignment horizontal="center" vertical="center"/>
      <protection/>
    </xf>
    <xf numFmtId="168" fontId="23" fillId="0" borderId="16" xfId="52" applyNumberFormat="1" applyFont="1" applyFill="1" applyBorder="1" applyAlignment="1">
      <alignment vertical="center"/>
    </xf>
    <xf numFmtId="168" fontId="23" fillId="0" borderId="16" xfId="51" applyNumberFormat="1" applyFont="1" applyFill="1" applyBorder="1" applyAlignment="1">
      <alignment vertical="center" wrapText="1"/>
    </xf>
    <xf numFmtId="168" fontId="23" fillId="0" borderId="16" xfId="52" applyNumberFormat="1" applyFont="1" applyFill="1" applyBorder="1" applyAlignment="1" applyProtection="1">
      <alignment vertical="center"/>
      <protection locked="0"/>
    </xf>
    <xf numFmtId="49" fontId="22" fillId="0" borderId="16" xfId="81" applyNumberFormat="1" applyFont="1" applyFill="1" applyBorder="1" applyAlignment="1">
      <alignment vertical="center"/>
      <protection/>
    </xf>
    <xf numFmtId="3" fontId="28" fillId="0" borderId="16" xfId="71" applyNumberFormat="1" applyFont="1" applyFill="1" applyBorder="1" applyAlignment="1">
      <alignment vertical="center"/>
    </xf>
    <xf numFmtId="9" fontId="22" fillId="0" borderId="16" xfId="106" applyFont="1" applyFill="1" applyBorder="1" applyAlignment="1">
      <alignment horizontal="righ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168" fontId="23" fillId="0" borderId="16" xfId="51" applyNumberFormat="1" applyFont="1" applyFill="1" applyBorder="1" applyAlignment="1">
      <alignment vertical="center"/>
    </xf>
    <xf numFmtId="0" fontId="0" fillId="0" borderId="0" xfId="0" applyFont="1" applyFill="1" applyAlignment="1">
      <alignment vertical="center" wrapText="1"/>
    </xf>
    <xf numFmtId="0" fontId="0" fillId="0" borderId="22" xfId="81" applyFont="1" applyBorder="1" applyAlignment="1">
      <alignment vertical="center"/>
      <protection/>
    </xf>
    <xf numFmtId="0" fontId="0" fillId="0" borderId="22" xfId="81" applyFont="1" applyBorder="1" applyAlignment="1">
      <alignment horizontal="center" vertical="center"/>
      <protection/>
    </xf>
    <xf numFmtId="0" fontId="20" fillId="0" borderId="22" xfId="81" applyFont="1" applyBorder="1" applyAlignment="1">
      <alignment horizontal="center" vertical="center"/>
      <protection/>
    </xf>
    <xf numFmtId="0" fontId="20" fillId="0" borderId="22" xfId="81" applyFont="1" applyFill="1" applyBorder="1" applyAlignment="1">
      <alignment horizontal="center" vertical="center"/>
      <protection/>
    </xf>
    <xf numFmtId="0" fontId="20" fillId="0" borderId="22" xfId="81" applyFont="1" applyFill="1" applyBorder="1" applyAlignment="1">
      <alignment horizontal="center" vertical="center" wrapText="1"/>
      <protection/>
    </xf>
    <xf numFmtId="164" fontId="20" fillId="0" borderId="22" xfId="81" applyNumberFormat="1" applyFont="1" applyFill="1" applyBorder="1" applyAlignment="1">
      <alignment horizontal="center" vertical="center"/>
      <protection/>
    </xf>
    <xf numFmtId="0" fontId="21" fillId="0" borderId="23" xfId="81" applyFont="1" applyBorder="1" applyAlignment="1">
      <alignment horizontal="center" vertical="center" wrapText="1"/>
      <protection/>
    </xf>
    <xf numFmtId="0" fontId="21" fillId="0" borderId="24" xfId="81" applyFont="1" applyBorder="1" applyAlignment="1">
      <alignment horizontal="center" vertical="center" wrapText="1"/>
      <protection/>
    </xf>
    <xf numFmtId="0" fontId="20" fillId="0" borderId="0" xfId="81" applyFont="1" applyFill="1" applyBorder="1" applyAlignment="1">
      <alignment horizontal="center" vertical="center"/>
      <protection/>
    </xf>
    <xf numFmtId="0" fontId="20" fillId="0" borderId="22" xfId="81" applyFont="1" applyBorder="1" applyAlignment="1">
      <alignment vertical="center"/>
      <protection/>
    </xf>
    <xf numFmtId="0" fontId="0" fillId="0" borderId="22" xfId="81" applyFont="1" applyBorder="1" applyAlignment="1">
      <alignment vertical="center" wrapText="1"/>
      <protection/>
    </xf>
    <xf numFmtId="0" fontId="0" fillId="0" borderId="25" xfId="81" applyFont="1" applyBorder="1" applyAlignment="1">
      <alignment vertical="center"/>
      <protection/>
    </xf>
    <xf numFmtId="0" fontId="18" fillId="0" borderId="23" xfId="81" applyFont="1" applyBorder="1" applyAlignment="1">
      <alignment horizontal="left" vertical="center" wrapText="1"/>
      <protection/>
    </xf>
    <xf numFmtId="0" fontId="18" fillId="0" borderId="23" xfId="81" applyFont="1" applyBorder="1" applyAlignment="1">
      <alignment vertical="center" wrapText="1"/>
      <protection/>
    </xf>
    <xf numFmtId="0" fontId="18" fillId="0" borderId="26" xfId="81" applyFont="1" applyBorder="1" applyAlignment="1">
      <alignment vertical="center" wrapText="1"/>
      <protection/>
    </xf>
    <xf numFmtId="0" fontId="18" fillId="0" borderId="26" xfId="81" applyFont="1" applyFill="1" applyBorder="1" applyAlignment="1">
      <alignment vertical="center" wrapText="1"/>
      <protection/>
    </xf>
    <xf numFmtId="0" fontId="18" fillId="0" borderId="0" xfId="81" applyFont="1" applyFill="1" applyBorder="1" applyAlignment="1">
      <alignment vertical="center" wrapText="1"/>
      <protection/>
    </xf>
    <xf numFmtId="0" fontId="18" fillId="0" borderId="24" xfId="81" applyFont="1" applyBorder="1" applyAlignment="1">
      <alignment horizontal="left" vertical="center" wrapText="1"/>
      <protection/>
    </xf>
    <xf numFmtId="0" fontId="0" fillId="0" borderId="22" xfId="0" applyFont="1" applyFill="1" applyBorder="1" applyAlignment="1">
      <alignment vertical="center"/>
    </xf>
    <xf numFmtId="0" fontId="18" fillId="0" borderId="24" xfId="81" applyFont="1" applyFill="1" applyBorder="1" applyAlignment="1">
      <alignment horizontal="left" vertical="center" wrapText="1"/>
      <protection/>
    </xf>
    <xf numFmtId="0" fontId="0" fillId="0" borderId="0" xfId="81" applyBorder="1" applyAlignment="1">
      <alignment vertical="center"/>
      <protection/>
    </xf>
    <xf numFmtId="0" fontId="18" fillId="0" borderId="0" xfId="81" applyFont="1" applyBorder="1" applyAlignment="1">
      <alignment horizontal="left" vertical="center" wrapText="1"/>
      <protection/>
    </xf>
    <xf numFmtId="0" fontId="0" fillId="0" borderId="22" xfId="81" applyBorder="1" applyAlignment="1">
      <alignment horizontal="center" vertical="center"/>
      <protection/>
    </xf>
    <xf numFmtId="0" fontId="18" fillId="0" borderId="27" xfId="81" applyFont="1" applyFill="1" applyBorder="1" applyAlignment="1">
      <alignment horizontal="center" vertical="center" wrapText="1"/>
      <protection/>
    </xf>
    <xf numFmtId="0" fontId="18" fillId="0" borderId="23" xfId="81" applyFont="1" applyBorder="1" applyAlignment="1">
      <alignment horizontal="center" vertical="center" wrapText="1"/>
      <protection/>
    </xf>
    <xf numFmtId="0" fontId="18" fillId="0" borderId="23" xfId="81" applyFont="1" applyFill="1" applyBorder="1" applyAlignment="1">
      <alignment horizontal="center" vertical="center" wrapText="1"/>
      <protection/>
    </xf>
    <xf numFmtId="0" fontId="18" fillId="0" borderId="27" xfId="81" applyFont="1" applyBorder="1" applyAlignment="1">
      <alignment horizontal="center" vertical="center" wrapText="1"/>
      <protection/>
    </xf>
    <xf numFmtId="0" fontId="0" fillId="0" borderId="22" xfId="81" applyFont="1" applyFill="1" applyBorder="1" applyAlignment="1">
      <alignment horizontal="center" vertical="center"/>
      <protection/>
    </xf>
    <xf numFmtId="0" fontId="0" fillId="0" borderId="22" xfId="81" applyBorder="1" applyAlignment="1">
      <alignment vertical="center"/>
      <protection/>
    </xf>
    <xf numFmtId="0" fontId="20" fillId="0" borderId="22" xfId="81" applyFont="1" applyBorder="1" applyAlignment="1">
      <alignment horizontal="center" vertical="center" wrapText="1"/>
      <protection/>
    </xf>
    <xf numFmtId="172" fontId="31" fillId="0" borderId="22" xfId="42" applyNumberFormat="1" applyFont="1" applyFill="1" applyBorder="1" applyAlignment="1">
      <alignment horizontal="center" vertical="center" wrapText="1"/>
    </xf>
    <xf numFmtId="0" fontId="21" fillId="0" borderId="22" xfId="81" applyFont="1" applyFill="1" applyBorder="1" applyAlignment="1">
      <alignment horizontal="center" vertical="center" wrapText="1"/>
      <protection/>
    </xf>
    <xf numFmtId="0" fontId="0" fillId="0" borderId="22" xfId="81" applyNumberFormat="1" applyBorder="1" applyAlignment="1">
      <alignment horizontal="center" vertical="center"/>
      <protection/>
    </xf>
    <xf numFmtId="0" fontId="0" fillId="0" borderId="28" xfId="81" applyBorder="1" applyAlignment="1">
      <alignment vertical="center"/>
      <protection/>
    </xf>
    <xf numFmtId="0" fontId="21" fillId="0" borderId="0" xfId="81" applyFont="1" applyBorder="1" applyAlignment="1">
      <alignment horizontal="center" vertical="center" wrapText="1"/>
      <protection/>
    </xf>
    <xf numFmtId="0" fontId="0" fillId="0" borderId="29" xfId="81" applyBorder="1" applyAlignment="1">
      <alignment horizontal="center" vertical="center"/>
      <protection/>
    </xf>
    <xf numFmtId="0" fontId="18" fillId="0" borderId="22" xfId="81" applyFont="1" applyBorder="1" applyAlignment="1">
      <alignment horizontal="left" vertical="center" wrapText="1"/>
      <protection/>
    </xf>
    <xf numFmtId="0" fontId="0" fillId="0" borderId="30" xfId="81" applyNumberFormat="1" applyBorder="1" applyAlignment="1">
      <alignment horizontal="center" vertical="center"/>
      <protection/>
    </xf>
    <xf numFmtId="0" fontId="0" fillId="0" borderId="29" xfId="81" applyNumberFormat="1" applyBorder="1" applyAlignment="1">
      <alignment horizontal="center" vertical="center"/>
      <protection/>
    </xf>
    <xf numFmtId="164" fontId="20" fillId="0" borderId="29" xfId="81" applyNumberFormat="1" applyFont="1" applyFill="1" applyBorder="1" applyAlignment="1">
      <alignment horizontal="center" vertical="center"/>
      <protection/>
    </xf>
    <xf numFmtId="0" fontId="0" fillId="0" borderId="30" xfId="81" applyFont="1" applyBorder="1" applyAlignment="1">
      <alignment vertical="center" wrapText="1"/>
      <protection/>
    </xf>
    <xf numFmtId="0" fontId="18" fillId="0" borderId="23" xfId="81" applyFont="1" applyFill="1" applyBorder="1" applyAlignment="1">
      <alignment horizontal="left" vertical="center" wrapText="1"/>
      <protection/>
    </xf>
    <xf numFmtId="0" fontId="0" fillId="0" borderId="23" xfId="81" applyNumberFormat="1" applyBorder="1" applyAlignment="1">
      <alignment horizontal="center" vertical="center"/>
      <protection/>
    </xf>
    <xf numFmtId="0" fontId="18" fillId="0" borderId="31" xfId="81" applyFont="1" applyBorder="1" applyAlignment="1">
      <alignment horizontal="left" vertical="center" wrapText="1"/>
      <protection/>
    </xf>
    <xf numFmtId="0" fontId="20" fillId="0" borderId="30" xfId="81" applyFont="1" applyFill="1" applyBorder="1" applyAlignment="1">
      <alignment horizontal="center" vertical="center"/>
      <protection/>
    </xf>
    <xf numFmtId="172" fontId="0" fillId="0" borderId="22" xfId="42" applyNumberFormat="1" applyFont="1" applyBorder="1" applyAlignment="1">
      <alignment vertical="center"/>
    </xf>
    <xf numFmtId="172" fontId="31" fillId="0" borderId="22" xfId="42" applyNumberFormat="1" applyFont="1" applyFill="1" applyBorder="1" applyAlignment="1">
      <alignment vertical="center"/>
    </xf>
    <xf numFmtId="164" fontId="18" fillId="0" borderId="22" xfId="81" applyNumberFormat="1" applyFont="1" applyFill="1" applyBorder="1" applyAlignment="1">
      <alignment vertical="center"/>
      <protection/>
    </xf>
    <xf numFmtId="172" fontId="0" fillId="0" borderId="22" xfId="42" applyNumberFormat="1" applyFont="1" applyFill="1" applyBorder="1" applyAlignment="1">
      <alignment vertical="center"/>
    </xf>
    <xf numFmtId="172" fontId="20" fillId="0" borderId="22" xfId="42" applyNumberFormat="1" applyFont="1" applyFill="1" applyBorder="1" applyAlignment="1">
      <alignment vertical="center"/>
    </xf>
    <xf numFmtId="172" fontId="20" fillId="0" borderId="22" xfId="42" applyNumberFormat="1" applyFont="1" applyBorder="1" applyAlignment="1">
      <alignment vertical="center"/>
    </xf>
    <xf numFmtId="3" fontId="0" fillId="0" borderId="22" xfId="81" applyNumberFormat="1" applyFill="1" applyBorder="1" applyAlignment="1">
      <alignment vertical="center"/>
      <protection/>
    </xf>
    <xf numFmtId="3" fontId="0" fillId="0" borderId="22" xfId="81" applyNumberFormat="1" applyBorder="1" applyAlignment="1">
      <alignment vertical="center"/>
      <protection/>
    </xf>
    <xf numFmtId="0" fontId="21" fillId="0" borderId="22" xfId="81" applyFont="1" applyFill="1" applyBorder="1" applyAlignment="1">
      <alignment vertical="center"/>
      <protection/>
    </xf>
    <xf numFmtId="3" fontId="20" fillId="0" borderId="22" xfId="81" applyNumberFormat="1" applyFont="1" applyFill="1" applyBorder="1" applyAlignment="1">
      <alignment vertical="center"/>
      <protection/>
    </xf>
    <xf numFmtId="3" fontId="20" fillId="0" borderId="22" xfId="81" applyNumberFormat="1" applyFont="1" applyBorder="1" applyAlignment="1">
      <alignment vertical="center"/>
      <protection/>
    </xf>
    <xf numFmtId="164" fontId="21" fillId="0" borderId="22" xfId="81" applyNumberFormat="1" applyFont="1" applyFill="1" applyBorder="1" applyAlignment="1">
      <alignment vertical="center"/>
      <protection/>
    </xf>
    <xf numFmtId="0" fontId="18" fillId="0" borderId="22" xfId="81" applyFont="1" applyFill="1" applyBorder="1" applyAlignment="1">
      <alignment vertical="center"/>
      <protection/>
    </xf>
    <xf numFmtId="172" fontId="0" fillId="0" borderId="30" xfId="42" applyNumberFormat="1" applyFont="1" applyFill="1" applyBorder="1" applyAlignment="1">
      <alignment vertical="center"/>
    </xf>
    <xf numFmtId="172" fontId="0" fillId="0" borderId="30" xfId="42" applyNumberFormat="1" applyFont="1" applyBorder="1" applyAlignment="1">
      <alignment vertical="center"/>
    </xf>
    <xf numFmtId="172" fontId="31" fillId="0" borderId="30" xfId="42" applyNumberFormat="1" applyFont="1" applyFill="1" applyBorder="1" applyAlignment="1">
      <alignment vertical="center"/>
    </xf>
    <xf numFmtId="0" fontId="18" fillId="0" borderId="30" xfId="81" applyFont="1" applyFill="1" applyBorder="1" applyAlignment="1">
      <alignment vertical="center"/>
      <protection/>
    </xf>
    <xf numFmtId="172" fontId="0" fillId="0" borderId="23" xfId="42" applyNumberFormat="1" applyFont="1" applyFill="1" applyBorder="1" applyAlignment="1">
      <alignment vertical="center"/>
    </xf>
    <xf numFmtId="172" fontId="0" fillId="0" borderId="23" xfId="42" applyNumberFormat="1" applyFont="1" applyBorder="1" applyAlignment="1">
      <alignment vertical="center"/>
    </xf>
    <xf numFmtId="172" fontId="31" fillId="0" borderId="23" xfId="42" applyNumberFormat="1" applyFont="1" applyFill="1" applyBorder="1" applyAlignment="1">
      <alignment vertical="center"/>
    </xf>
    <xf numFmtId="164" fontId="18" fillId="0" borderId="23" xfId="81" applyNumberFormat="1" applyFont="1" applyFill="1" applyBorder="1" applyAlignment="1">
      <alignment vertical="center"/>
      <protection/>
    </xf>
    <xf numFmtId="172" fontId="20" fillId="0" borderId="29" xfId="42" applyNumberFormat="1" applyFont="1" applyFill="1" applyBorder="1" applyAlignment="1">
      <alignment vertical="center"/>
    </xf>
    <xf numFmtId="172" fontId="31" fillId="0" borderId="29" xfId="42" applyNumberFormat="1" applyFont="1" applyFill="1" applyBorder="1" applyAlignment="1">
      <alignment vertical="center"/>
    </xf>
    <xf numFmtId="164" fontId="21" fillId="0" borderId="29" xfId="81" applyNumberFormat="1" applyFont="1" applyFill="1" applyBorder="1" applyAlignment="1">
      <alignment vertical="center"/>
      <protection/>
    </xf>
    <xf numFmtId="10" fontId="21" fillId="0" borderId="22" xfId="81" applyNumberFormat="1" applyFont="1" applyFill="1" applyBorder="1" applyAlignment="1">
      <alignment horizontal="center" vertical="center"/>
      <protection/>
    </xf>
    <xf numFmtId="0" fontId="0" fillId="0" borderId="22" xfId="0" applyFont="1" applyFill="1" applyBorder="1" applyAlignment="1">
      <alignment horizontal="center" vertical="center"/>
    </xf>
    <xf numFmtId="0" fontId="0" fillId="0" borderId="29" xfId="81" applyFill="1" applyBorder="1" applyAlignment="1">
      <alignment horizontal="center" vertical="center"/>
      <protection/>
    </xf>
    <xf numFmtId="0" fontId="0" fillId="0" borderId="32" xfId="81" applyNumberFormat="1" applyBorder="1" applyAlignment="1">
      <alignment horizontal="center" vertical="center"/>
      <protection/>
    </xf>
    <xf numFmtId="0" fontId="0" fillId="0" borderId="30" xfId="81" applyFont="1" applyFill="1" applyBorder="1" applyAlignment="1">
      <alignment horizontal="center" vertical="center"/>
      <protection/>
    </xf>
    <xf numFmtId="0" fontId="18" fillId="0" borderId="31" xfId="81" applyFont="1" applyFill="1" applyBorder="1" applyAlignment="1">
      <alignment horizontal="center" vertical="center" wrapText="1"/>
      <protection/>
    </xf>
    <xf numFmtId="0" fontId="18" fillId="0" borderId="22" xfId="81" applyFont="1" applyFill="1" applyBorder="1" applyAlignment="1">
      <alignment horizontal="center" vertical="center" wrapText="1"/>
      <protection/>
    </xf>
    <xf numFmtId="0" fontId="0" fillId="0" borderId="22" xfId="81" applyFill="1" applyBorder="1" applyAlignment="1">
      <alignment horizontal="center" vertical="center"/>
      <protection/>
    </xf>
    <xf numFmtId="0" fontId="0" fillId="0" borderId="22" xfId="81" applyBorder="1" applyAlignment="1">
      <alignment vertical="center" wrapText="1"/>
      <protection/>
    </xf>
    <xf numFmtId="0" fontId="0" fillId="0" borderId="26" xfId="81" applyFont="1" applyBorder="1" applyAlignment="1">
      <alignment vertical="center"/>
      <protection/>
    </xf>
    <xf numFmtId="0" fontId="0" fillId="0" borderId="22" xfId="81" applyFont="1" applyFill="1" applyBorder="1" applyAlignment="1">
      <alignment vertical="center" wrapText="1"/>
      <protection/>
    </xf>
    <xf numFmtId="0" fontId="0" fillId="0" borderId="23" xfId="81" applyNumberFormat="1" applyFill="1" applyBorder="1" applyAlignment="1">
      <alignment horizontal="center" vertical="center"/>
      <protection/>
    </xf>
    <xf numFmtId="0" fontId="21" fillId="0" borderId="23" xfId="81" applyFont="1" applyFill="1" applyBorder="1" applyAlignment="1">
      <alignment horizontal="center" vertical="center" wrapText="1"/>
      <protection/>
    </xf>
    <xf numFmtId="0" fontId="0" fillId="0" borderId="0" xfId="81" applyBorder="1" applyAlignment="1">
      <alignment vertical="center" wrapText="1"/>
      <protection/>
    </xf>
    <xf numFmtId="0" fontId="0" fillId="0" borderId="0" xfId="81" applyBorder="1" applyAlignment="1">
      <alignment horizontal="center" vertical="center" wrapText="1"/>
      <protection/>
    </xf>
    <xf numFmtId="164" fontId="18" fillId="0" borderId="22" xfId="0" applyNumberFormat="1" applyFont="1" applyFill="1" applyBorder="1" applyAlignment="1">
      <alignment vertical="center"/>
    </xf>
    <xf numFmtId="0" fontId="0" fillId="0" borderId="22" xfId="81" applyFont="1" applyFill="1" applyBorder="1" applyAlignment="1">
      <alignment vertical="center"/>
      <protection/>
    </xf>
    <xf numFmtId="0" fontId="0" fillId="0" borderId="22" xfId="0" applyFont="1" applyFill="1" applyBorder="1" applyAlignment="1">
      <alignment vertical="center" wrapText="1"/>
    </xf>
    <xf numFmtId="15" fontId="0" fillId="0" borderId="22" xfId="0" applyNumberFormat="1" applyFont="1" applyFill="1" applyBorder="1" applyAlignment="1">
      <alignment horizontal="left" vertical="center" wrapText="1"/>
    </xf>
    <xf numFmtId="0" fontId="0" fillId="0" borderId="0" xfId="81" applyFill="1" applyBorder="1" applyAlignment="1">
      <alignment vertical="center"/>
      <protection/>
    </xf>
    <xf numFmtId="0" fontId="0" fillId="0" borderId="0" xfId="81" applyBorder="1" applyAlignment="1">
      <alignment horizontal="center" vertical="center"/>
      <protection/>
    </xf>
    <xf numFmtId="172" fontId="31" fillId="0" borderId="0" xfId="81" applyNumberFormat="1" applyFont="1" applyBorder="1" applyAlignment="1">
      <alignment vertical="center"/>
      <protection/>
    </xf>
    <xf numFmtId="172" fontId="31" fillId="0" borderId="0" xfId="42" applyNumberFormat="1" applyFont="1" applyFill="1" applyBorder="1" applyAlignment="1">
      <alignment vertical="center"/>
    </xf>
    <xf numFmtId="0" fontId="18" fillId="0" borderId="0" xfId="81" applyFont="1" applyFill="1" applyBorder="1" applyAlignment="1">
      <alignment vertical="center"/>
      <protection/>
    </xf>
    <xf numFmtId="0" fontId="20" fillId="0" borderId="0" xfId="81" applyFont="1" applyFill="1" applyBorder="1" applyAlignment="1">
      <alignment vertical="center"/>
      <protection/>
    </xf>
    <xf numFmtId="3" fontId="20" fillId="0" borderId="0" xfId="81" applyNumberFormat="1" applyFont="1" applyBorder="1" applyAlignment="1">
      <alignment vertical="center"/>
      <protection/>
    </xf>
    <xf numFmtId="0" fontId="0" fillId="0" borderId="0" xfId="81" applyFont="1" applyBorder="1" applyAlignment="1">
      <alignment vertical="center"/>
      <protection/>
    </xf>
    <xf numFmtId="0" fontId="0" fillId="0" borderId="0" xfId="81" applyFont="1" applyFill="1" applyBorder="1" applyAlignment="1">
      <alignment vertical="center" wrapText="1"/>
      <protection/>
    </xf>
    <xf numFmtId="9" fontId="20" fillId="0" borderId="0" xfId="101" applyFont="1" applyBorder="1" applyAlignment="1">
      <alignment vertical="center"/>
    </xf>
    <xf numFmtId="10" fontId="20" fillId="0" borderId="0" xfId="106" applyNumberFormat="1" applyFont="1" applyFill="1" applyBorder="1" applyAlignment="1" applyProtection="1">
      <alignment vertical="center"/>
      <protection/>
    </xf>
    <xf numFmtId="0" fontId="20" fillId="0" borderId="0" xfId="81" applyFont="1" applyBorder="1" applyAlignment="1">
      <alignment vertical="center"/>
      <protection/>
    </xf>
    <xf numFmtId="2" fontId="0" fillId="0" borderId="0" xfId="81" applyNumberFormat="1" applyBorder="1" applyAlignment="1">
      <alignment vertical="center"/>
      <protection/>
    </xf>
    <xf numFmtId="0" fontId="19" fillId="0" borderId="0" xfId="81" applyFont="1" applyFill="1" applyBorder="1" applyAlignment="1" quotePrefix="1">
      <alignment vertical="center"/>
      <protection/>
    </xf>
    <xf numFmtId="0" fontId="0" fillId="0" borderId="0" xfId="81" applyFont="1" applyFill="1" applyBorder="1" applyAlignment="1">
      <alignment vertical="center"/>
      <protection/>
    </xf>
    <xf numFmtId="0" fontId="0" fillId="0" borderId="0" xfId="81" applyFill="1" applyBorder="1" applyAlignment="1">
      <alignment horizontal="center" vertical="center"/>
      <protection/>
    </xf>
    <xf numFmtId="172" fontId="0" fillId="0" borderId="0" xfId="81" applyNumberFormat="1" applyFill="1" applyBorder="1" applyAlignment="1">
      <alignment vertical="center"/>
      <protection/>
    </xf>
    <xf numFmtId="3" fontId="0" fillId="0" borderId="0" xfId="81" applyNumberFormat="1" applyBorder="1" applyAlignment="1">
      <alignment vertical="center"/>
      <protection/>
    </xf>
    <xf numFmtId="4" fontId="0" fillId="0" borderId="0" xfId="81" applyNumberFormat="1" applyBorder="1" applyAlignment="1">
      <alignment vertical="center"/>
      <protection/>
    </xf>
    <xf numFmtId="0" fontId="0" fillId="0" borderId="33" xfId="81" applyFont="1" applyFill="1" applyBorder="1" applyAlignment="1">
      <alignment vertical="center" wrapText="1"/>
      <protection/>
    </xf>
    <xf numFmtId="0" fontId="0" fillId="0" borderId="0"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164" fontId="20" fillId="0" borderId="0" xfId="0" applyNumberFormat="1"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0" fillId="0" borderId="0" xfId="0" applyFill="1" applyBorder="1" applyAlignment="1">
      <alignment horizontal="center" vertical="center" wrapText="1"/>
    </xf>
    <xf numFmtId="4" fontId="0" fillId="0" borderId="34" xfId="0" applyNumberFormat="1" applyFont="1" applyFill="1" applyBorder="1" applyAlignment="1">
      <alignment vertical="center"/>
    </xf>
    <xf numFmtId="4" fontId="18" fillId="0" borderId="22" xfId="0" applyNumberFormat="1" applyFont="1" applyFill="1" applyBorder="1" applyAlignment="1">
      <alignment vertical="center"/>
    </xf>
    <xf numFmtId="164" fontId="20" fillId="0" borderId="22" xfId="0" applyNumberFormat="1" applyFont="1" applyFill="1" applyBorder="1" applyAlignment="1">
      <alignment horizontal="center" vertical="center"/>
    </xf>
    <xf numFmtId="0" fontId="0" fillId="0" borderId="22" xfId="0" applyBorder="1" applyAlignment="1">
      <alignment horizontal="center" vertical="center"/>
    </xf>
    <xf numFmtId="0" fontId="20" fillId="0" borderId="22" xfId="0" applyFont="1" applyBorder="1" applyAlignment="1">
      <alignment vertical="center"/>
    </xf>
    <xf numFmtId="4" fontId="21" fillId="0" borderId="34" xfId="0" applyNumberFormat="1" applyFont="1" applyFill="1" applyBorder="1" applyAlignment="1">
      <alignment vertical="center"/>
    </xf>
    <xf numFmtId="172" fontId="31" fillId="0" borderId="34" xfId="42" applyNumberFormat="1" applyFont="1" applyFill="1" applyBorder="1" applyAlignment="1">
      <alignment vertical="center"/>
    </xf>
    <xf numFmtId="164" fontId="0" fillId="0" borderId="22" xfId="0" applyNumberFormat="1" applyFont="1" applyFill="1" applyBorder="1" applyAlignment="1">
      <alignment horizontal="left" vertical="center" wrapText="1"/>
    </xf>
    <xf numFmtId="172" fontId="0" fillId="0" borderId="34" xfId="42" applyNumberFormat="1" applyFont="1" applyFill="1" applyBorder="1" applyAlignment="1">
      <alignment vertical="center"/>
    </xf>
    <xf numFmtId="172" fontId="20" fillId="0" borderId="34" xfId="42" applyNumberFormat="1" applyFont="1" applyFill="1" applyBorder="1" applyAlignment="1">
      <alignment vertical="center"/>
    </xf>
    <xf numFmtId="0" fontId="20" fillId="0" borderId="22" xfId="0" applyFont="1" applyFill="1" applyBorder="1" applyAlignment="1">
      <alignment vertical="center"/>
    </xf>
    <xf numFmtId="0" fontId="0" fillId="0" borderId="22" xfId="0" applyFont="1" applyBorder="1" applyAlignment="1">
      <alignment horizontal="center" vertical="center"/>
    </xf>
    <xf numFmtId="0" fontId="21" fillId="0" borderId="24" xfId="81" applyFont="1" applyFill="1" applyBorder="1" applyAlignment="1">
      <alignment horizontal="center" vertical="center" wrapText="1"/>
      <protection/>
    </xf>
    <xf numFmtId="0" fontId="0" fillId="0" borderId="22" xfId="0" applyFont="1" applyBorder="1" applyAlignment="1">
      <alignment vertical="center"/>
    </xf>
    <xf numFmtId="164" fontId="20" fillId="0" borderId="22" xfId="0" applyNumberFormat="1" applyFont="1" applyFill="1" applyBorder="1" applyAlignment="1">
      <alignment horizontal="center" vertical="center" wrapText="1"/>
    </xf>
    <xf numFmtId="4" fontId="0" fillId="0" borderId="34" xfId="0" applyNumberFormat="1" applyFill="1" applyBorder="1" applyAlignment="1">
      <alignment vertical="center"/>
    </xf>
    <xf numFmtId="0" fontId="20" fillId="0" borderId="22" xfId="0" applyFont="1" applyFill="1" applyBorder="1" applyAlignment="1">
      <alignment horizontal="center" vertical="center"/>
    </xf>
    <xf numFmtId="166" fontId="20" fillId="0" borderId="22" xfId="0" applyNumberFormat="1" applyFont="1" applyFill="1" applyBorder="1" applyAlignment="1">
      <alignment horizontal="center" vertical="center"/>
    </xf>
    <xf numFmtId="0" fontId="20" fillId="0" borderId="22" xfId="0" applyFont="1" applyFill="1" applyBorder="1" applyAlignment="1">
      <alignment vertical="center" wrapText="1"/>
    </xf>
    <xf numFmtId="0" fontId="22" fillId="0" borderId="0" xfId="0" applyFont="1" applyFill="1" applyBorder="1" applyAlignment="1">
      <alignment vertical="center"/>
    </xf>
    <xf numFmtId="0" fontId="20" fillId="0" borderId="0" xfId="0" applyFont="1" applyFill="1" applyBorder="1" applyAlignment="1">
      <alignment vertical="center"/>
    </xf>
    <xf numFmtId="172" fontId="20" fillId="0" borderId="0" xfId="42" applyNumberFormat="1" applyFont="1" applyFill="1" applyBorder="1" applyAlignment="1">
      <alignment vertical="center"/>
    </xf>
    <xf numFmtId="10" fontId="20" fillId="0"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xf>
    <xf numFmtId="0" fontId="20" fillId="0" borderId="0" xfId="0" applyFont="1" applyFill="1" applyBorder="1" applyAlignment="1">
      <alignment vertical="center" wrapText="1"/>
    </xf>
    <xf numFmtId="0" fontId="31" fillId="0" borderId="0" xfId="0" applyFont="1" applyFill="1" applyBorder="1" applyAlignment="1">
      <alignment vertical="center"/>
    </xf>
    <xf numFmtId="172" fontId="31" fillId="0" borderId="0" xfId="42" applyNumberFormat="1" applyFont="1" applyFill="1" applyBorder="1" applyAlignment="1">
      <alignment horizontal="center" vertical="center"/>
    </xf>
    <xf numFmtId="0" fontId="21" fillId="0" borderId="0" xfId="0" applyFont="1" applyFill="1" applyBorder="1" applyAlignment="1">
      <alignment vertical="center"/>
    </xf>
    <xf numFmtId="172" fontId="32" fillId="0" borderId="0" xfId="42" applyNumberFormat="1" applyFont="1" applyFill="1" applyBorder="1" applyAlignment="1">
      <alignment vertical="center"/>
    </xf>
    <xf numFmtId="10" fontId="20" fillId="0" borderId="0" xfId="101" applyNumberFormat="1" applyFont="1" applyFill="1" applyBorder="1" applyAlignment="1" applyProtection="1">
      <alignment vertical="center"/>
      <protection/>
    </xf>
    <xf numFmtId="3" fontId="0" fillId="0" borderId="0" xfId="0" applyNumberFormat="1" applyFont="1" applyFill="1" applyBorder="1" applyAlignment="1">
      <alignment vertical="center"/>
    </xf>
    <xf numFmtId="10" fontId="0"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0" fillId="0" borderId="0" xfId="0" applyFill="1" applyBorder="1" applyAlignment="1">
      <alignment horizontal="center" vertical="center"/>
    </xf>
    <xf numFmtId="3" fontId="23" fillId="0" borderId="0" xfId="0" applyNumberFormat="1" applyFont="1" applyFill="1" applyBorder="1" applyAlignment="1">
      <alignment vertical="center"/>
    </xf>
    <xf numFmtId="10"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22" xfId="0" applyFont="1" applyFill="1" applyBorder="1" applyAlignment="1">
      <alignment wrapText="1"/>
    </xf>
    <xf numFmtId="0" fontId="0" fillId="0" borderId="22" xfId="81" applyNumberFormat="1" applyFill="1" applyBorder="1" applyAlignment="1">
      <alignment horizontal="center" vertical="center"/>
      <protection/>
    </xf>
    <xf numFmtId="172" fontId="0" fillId="0" borderId="29" xfId="42" applyNumberFormat="1" applyFont="1" applyFill="1" applyBorder="1" applyAlignment="1">
      <alignment vertical="center"/>
    </xf>
    <xf numFmtId="172" fontId="0" fillId="0" borderId="0" xfId="42" applyNumberFormat="1" applyFont="1" applyAlignment="1">
      <alignment vertical="center"/>
    </xf>
    <xf numFmtId="172" fontId="0" fillId="0" borderId="0" xfId="42" applyNumberFormat="1" applyFont="1" applyFill="1" applyBorder="1" applyAlignment="1">
      <alignment vertical="center"/>
    </xf>
    <xf numFmtId="0" fontId="21" fillId="0" borderId="22" xfId="0" applyFont="1" applyFill="1" applyBorder="1" applyAlignment="1">
      <alignment horizontal="center" wrapText="1"/>
    </xf>
    <xf numFmtId="172" fontId="18" fillId="0" borderId="0" xfId="0" applyNumberFormat="1" applyFont="1" applyFill="1" applyBorder="1" applyAlignment="1">
      <alignment vertical="center"/>
    </xf>
    <xf numFmtId="172" fontId="21" fillId="0" borderId="23" xfId="0" applyNumberFormat="1" applyFont="1" applyFill="1" applyBorder="1" applyAlignment="1">
      <alignment vertical="center"/>
    </xf>
    <xf numFmtId="9" fontId="20" fillId="0" borderId="0" xfId="101" applyFont="1" applyBorder="1" applyAlignment="1">
      <alignment horizontal="center" vertical="center"/>
    </xf>
    <xf numFmtId="9" fontId="0" fillId="0" borderId="0" xfId="101" applyFont="1" applyFill="1" applyBorder="1" applyAlignment="1">
      <alignment vertical="center"/>
    </xf>
    <xf numFmtId="9" fontId="20" fillId="0" borderId="0" xfId="101" applyFont="1" applyFill="1" applyBorder="1" applyAlignment="1">
      <alignment horizontal="center" vertical="center"/>
    </xf>
    <xf numFmtId="0" fontId="21" fillId="25" borderId="22" xfId="0" applyFont="1" applyFill="1" applyBorder="1" applyAlignment="1">
      <alignment horizontal="center" wrapText="1"/>
    </xf>
    <xf numFmtId="172" fontId="0" fillId="25" borderId="34" xfId="42" applyNumberFormat="1" applyFont="1" applyFill="1" applyBorder="1" applyAlignment="1">
      <alignment vertical="center"/>
    </xf>
    <xf numFmtId="172" fontId="0" fillId="25" borderId="22" xfId="42" applyNumberFormat="1" applyFont="1" applyFill="1" applyBorder="1" applyAlignment="1">
      <alignment vertical="center"/>
    </xf>
    <xf numFmtId="0" fontId="21" fillId="0" borderId="0" xfId="81" applyFont="1" applyFill="1" applyBorder="1" applyAlignment="1">
      <alignment horizontal="center" vertical="center" wrapText="1"/>
      <protection/>
    </xf>
    <xf numFmtId="15" fontId="20" fillId="0" borderId="22" xfId="0" applyNumberFormat="1" applyFont="1" applyFill="1" applyBorder="1" applyAlignment="1">
      <alignment horizontal="center" vertical="center"/>
    </xf>
    <xf numFmtId="172" fontId="0" fillId="0" borderId="22" xfId="81" applyNumberFormat="1" applyBorder="1" applyAlignment="1">
      <alignment horizontal="center" vertical="center"/>
      <protection/>
    </xf>
    <xf numFmtId="172" fontId="0" fillId="0" borderId="30" xfId="81" applyNumberFormat="1" applyBorder="1" applyAlignment="1">
      <alignment horizontal="center" vertical="center"/>
      <protection/>
    </xf>
    <xf numFmtId="172" fontId="20" fillId="0" borderId="30" xfId="81" applyNumberFormat="1" applyFont="1" applyBorder="1" applyAlignment="1">
      <alignment horizontal="center" vertical="center"/>
      <protection/>
    </xf>
    <xf numFmtId="0" fontId="0" fillId="0" borderId="32" xfId="81" applyBorder="1" applyAlignment="1">
      <alignment horizontal="center" vertical="center"/>
      <protection/>
    </xf>
    <xf numFmtId="172" fontId="20" fillId="0" borderId="22" xfId="42" applyNumberFormat="1" applyFont="1" applyFill="1" applyBorder="1" applyAlignment="1">
      <alignment horizontal="center" vertical="center" wrapText="1"/>
    </xf>
    <xf numFmtId="0" fontId="20" fillId="0" borderId="32" xfId="0" applyFont="1" applyFill="1" applyBorder="1" applyAlignment="1">
      <alignment horizontal="center" vertical="center" wrapText="1"/>
    </xf>
    <xf numFmtId="0" fontId="0" fillId="0" borderId="32" xfId="0" applyNumberFormat="1" applyFont="1" applyFill="1" applyBorder="1" applyAlignment="1">
      <alignment horizontal="center" vertical="center"/>
    </xf>
    <xf numFmtId="0" fontId="0" fillId="0" borderId="32" xfId="0" applyNumberFormat="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wrapText="1"/>
    </xf>
    <xf numFmtId="164" fontId="20" fillId="0" borderId="32" xfId="0" applyNumberFormat="1" applyFont="1" applyFill="1" applyBorder="1" applyAlignment="1">
      <alignment horizontal="center" vertical="center"/>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0" fillId="0" borderId="37" xfId="0" applyNumberFormat="1" applyFont="1" applyFill="1" applyBorder="1" applyAlignment="1">
      <alignment horizontal="center" vertical="center"/>
    </xf>
    <xf numFmtId="0" fontId="0" fillId="0" borderId="37" xfId="0" applyNumberFormat="1" applyBorder="1" applyAlignment="1">
      <alignment horizontal="center" vertical="center"/>
    </xf>
    <xf numFmtId="172" fontId="0" fillId="0" borderId="37" xfId="0" applyNumberFormat="1" applyFont="1" applyFill="1" applyBorder="1" applyAlignment="1">
      <alignment horizontal="center" vertical="center" wrapText="1"/>
    </xf>
    <xf numFmtId="172" fontId="0" fillId="0" borderId="38" xfId="42" applyNumberFormat="1" applyFont="1" applyFill="1" applyBorder="1" applyAlignment="1">
      <alignment vertical="center"/>
    </xf>
    <xf numFmtId="172" fontId="20" fillId="0" borderId="38" xfId="42" applyNumberFormat="1" applyFont="1" applyFill="1" applyBorder="1" applyAlignment="1">
      <alignment vertical="center"/>
    </xf>
    <xf numFmtId="0" fontId="0" fillId="0" borderId="37" xfId="0" applyNumberFormat="1" applyFont="1" applyFill="1" applyBorder="1" applyAlignment="1">
      <alignment horizontal="center" vertical="center" wrapText="1"/>
    </xf>
    <xf numFmtId="172" fontId="0" fillId="0" borderId="37" xfId="81" applyNumberFormat="1" applyBorder="1" applyAlignment="1">
      <alignment horizontal="center" vertical="center"/>
      <protection/>
    </xf>
    <xf numFmtId="172" fontId="0" fillId="0" borderId="37" xfId="0" applyNumberFormat="1" applyBorder="1" applyAlignment="1">
      <alignment horizontal="center" vertical="center"/>
    </xf>
    <xf numFmtId="0" fontId="0" fillId="0" borderId="37" xfId="81" applyNumberFormat="1" applyBorder="1" applyAlignment="1">
      <alignment horizontal="center" vertical="center"/>
      <protection/>
    </xf>
    <xf numFmtId="172" fontId="20" fillId="0" borderId="39" xfId="42" applyNumberFormat="1" applyFont="1" applyFill="1" applyBorder="1" applyAlignment="1">
      <alignment horizontal="center" vertical="center"/>
    </xf>
    <xf numFmtId="172" fontId="20" fillId="0" borderId="40" xfId="42" applyNumberFormat="1" applyFont="1" applyFill="1" applyBorder="1" applyAlignment="1">
      <alignment vertical="center"/>
    </xf>
    <xf numFmtId="172" fontId="31" fillId="0" borderId="32" xfId="42" applyNumberFormat="1" applyFont="1" applyFill="1" applyBorder="1" applyAlignment="1">
      <alignment horizontal="center" vertical="center" wrapText="1"/>
    </xf>
    <xf numFmtId="172" fontId="31" fillId="0" borderId="32" xfId="42" applyNumberFormat="1" applyFont="1" applyFill="1" applyBorder="1" applyAlignment="1">
      <alignment vertical="center"/>
    </xf>
    <xf numFmtId="172" fontId="31" fillId="0" borderId="41" xfId="42" applyNumberFormat="1" applyFont="1" applyFill="1" applyBorder="1" applyAlignment="1">
      <alignment vertical="center"/>
    </xf>
    <xf numFmtId="172" fontId="0" fillId="0" borderId="41" xfId="42" applyNumberFormat="1" applyFont="1" applyFill="1" applyBorder="1" applyAlignment="1">
      <alignment vertical="center"/>
    </xf>
    <xf numFmtId="164" fontId="0" fillId="0" borderId="34" xfId="0" applyNumberFormat="1" applyFont="1" applyFill="1" applyBorder="1" applyAlignment="1">
      <alignment vertical="center"/>
    </xf>
    <xf numFmtId="164" fontId="18" fillId="0" borderId="34" xfId="0" applyNumberFormat="1" applyFont="1" applyFill="1" applyBorder="1" applyAlignment="1">
      <alignment vertical="center"/>
    </xf>
    <xf numFmtId="15" fontId="18" fillId="0" borderId="34" xfId="0" applyNumberFormat="1" applyFont="1" applyFill="1" applyBorder="1" applyAlignment="1">
      <alignment vertical="center"/>
    </xf>
    <xf numFmtId="15" fontId="18" fillId="26" borderId="34" xfId="0" applyNumberFormat="1" applyFont="1" applyFill="1" applyBorder="1" applyAlignment="1">
      <alignment vertical="center"/>
    </xf>
    <xf numFmtId="164" fontId="18" fillId="0" borderId="34" xfId="82" applyNumberFormat="1" applyFont="1" applyFill="1" applyBorder="1" applyAlignment="1">
      <alignment vertical="center"/>
      <protection/>
    </xf>
    <xf numFmtId="10" fontId="20" fillId="0" borderId="34" xfId="0" applyNumberFormat="1" applyFont="1" applyFill="1" applyBorder="1" applyAlignment="1">
      <alignment horizontal="center" vertical="center"/>
    </xf>
    <xf numFmtId="172" fontId="20" fillId="0" borderId="37" xfId="42" applyNumberFormat="1" applyFont="1" applyFill="1" applyBorder="1" applyAlignment="1">
      <alignment horizontal="center" vertical="center" wrapText="1"/>
    </xf>
    <xf numFmtId="172" fontId="20" fillId="0" borderId="38" xfId="42" applyNumberFormat="1" applyFont="1" applyFill="1" applyBorder="1" applyAlignment="1">
      <alignment horizontal="center" vertical="center" wrapText="1"/>
    </xf>
    <xf numFmtId="172" fontId="31" fillId="0" borderId="37" xfId="42" applyNumberFormat="1" applyFont="1" applyFill="1" applyBorder="1" applyAlignment="1">
      <alignment vertical="center"/>
    </xf>
    <xf numFmtId="172" fontId="0" fillId="0" borderId="37" xfId="42" applyNumberFormat="1" applyFont="1" applyFill="1" applyBorder="1" applyAlignment="1">
      <alignment vertical="center"/>
    </xf>
    <xf numFmtId="172" fontId="0" fillId="0" borderId="42" xfId="42" applyNumberFormat="1" applyFont="1" applyFill="1" applyBorder="1" applyAlignment="1">
      <alignment vertical="center"/>
    </xf>
    <xf numFmtId="0" fontId="20" fillId="0" borderId="43" xfId="0" applyFont="1" applyFill="1" applyBorder="1" applyAlignment="1">
      <alignment horizontal="center" vertical="center" wrapText="1"/>
    </xf>
    <xf numFmtId="4" fontId="0" fillId="0" borderId="44" xfId="0" applyNumberFormat="1" applyFont="1" applyFill="1" applyBorder="1" applyAlignment="1">
      <alignment vertical="center"/>
    </xf>
    <xf numFmtId="3" fontId="20" fillId="0" borderId="44" xfId="0" applyNumberFormat="1" applyFont="1" applyFill="1" applyBorder="1" applyAlignment="1">
      <alignment vertical="center"/>
    </xf>
    <xf numFmtId="0" fontId="0" fillId="0" borderId="38" xfId="0" applyNumberFormat="1" applyFont="1" applyFill="1" applyBorder="1" applyAlignment="1">
      <alignment horizontal="center" vertical="center"/>
    </xf>
    <xf numFmtId="0" fontId="0" fillId="0" borderId="38" xfId="0" applyNumberFormat="1" applyBorder="1" applyAlignment="1">
      <alignment horizontal="center" vertical="center"/>
    </xf>
    <xf numFmtId="0" fontId="0" fillId="0" borderId="38"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 fontId="0" fillId="0" borderId="41" xfId="0" applyNumberFormat="1" applyFont="1" applyFill="1" applyBorder="1" applyAlignment="1">
      <alignment vertical="center"/>
    </xf>
    <xf numFmtId="4" fontId="20" fillId="0" borderId="41" xfId="0" applyNumberFormat="1" applyFont="1" applyBorder="1" applyAlignment="1">
      <alignment vertical="center"/>
    </xf>
    <xf numFmtId="172" fontId="0" fillId="0" borderId="41" xfId="42" applyNumberFormat="1" applyFont="1" applyBorder="1" applyAlignment="1">
      <alignment vertical="center"/>
    </xf>
    <xf numFmtId="172" fontId="20" fillId="0" borderId="41" xfId="42" applyNumberFormat="1" applyFont="1" applyFill="1" applyBorder="1" applyAlignment="1">
      <alignment vertical="center"/>
    </xf>
    <xf numFmtId="4" fontId="20" fillId="0" borderId="41" xfId="0" applyNumberFormat="1" applyFont="1" applyFill="1" applyBorder="1" applyAlignment="1">
      <alignment vertical="center"/>
    </xf>
    <xf numFmtId="4" fontId="18" fillId="0" borderId="41" xfId="0" applyNumberFormat="1" applyFont="1" applyBorder="1" applyAlignment="1">
      <alignment vertical="center"/>
    </xf>
    <xf numFmtId="172" fontId="20" fillId="0" borderId="41" xfId="42" applyNumberFormat="1" applyFont="1" applyBorder="1" applyAlignment="1">
      <alignment vertical="center"/>
    </xf>
    <xf numFmtId="172" fontId="20" fillId="0" borderId="37" xfId="42" applyNumberFormat="1" applyFont="1" applyFill="1" applyBorder="1" applyAlignment="1">
      <alignment vertical="center"/>
    </xf>
    <xf numFmtId="172" fontId="20" fillId="0" borderId="42" xfId="42" applyNumberFormat="1" applyFont="1" applyFill="1" applyBorder="1" applyAlignment="1">
      <alignment vertical="center"/>
    </xf>
    <xf numFmtId="172" fontId="20" fillId="0" borderId="45" xfId="42" applyNumberFormat="1" applyFont="1" applyFill="1" applyBorder="1" applyAlignment="1">
      <alignment vertical="center"/>
    </xf>
    <xf numFmtId="0" fontId="0" fillId="0" borderId="32" xfId="81" applyNumberFormat="1" applyBorder="1" applyAlignment="1">
      <alignment horizontal="center" vertical="center" wrapText="1"/>
      <protection/>
    </xf>
    <xf numFmtId="164" fontId="18" fillId="0" borderId="30" xfId="81" applyNumberFormat="1" applyFont="1" applyFill="1" applyBorder="1" applyAlignment="1">
      <alignment vertical="center"/>
      <protection/>
    </xf>
    <xf numFmtId="172" fontId="20" fillId="0" borderId="39" xfId="42" applyNumberFormat="1" applyFont="1" applyFill="1" applyBorder="1" applyAlignment="1">
      <alignment vertical="center"/>
    </xf>
    <xf numFmtId="164" fontId="18" fillId="26" borderId="34" xfId="0" applyNumberFormat="1" applyFont="1" applyFill="1" applyBorder="1" applyAlignment="1">
      <alignment vertical="center"/>
    </xf>
    <xf numFmtId="172" fontId="32" fillId="0" borderId="0" xfId="0" applyNumberFormat="1" applyFont="1" applyFill="1" applyBorder="1" applyAlignment="1">
      <alignment vertical="center"/>
    </xf>
    <xf numFmtId="172" fontId="32" fillId="0" borderId="0" xfId="42" applyNumberFormat="1" applyFont="1" applyFill="1" applyBorder="1" applyAlignment="1">
      <alignment horizontal="center" vertical="center"/>
    </xf>
    <xf numFmtId="9" fontId="32" fillId="0" borderId="0" xfId="0" applyNumberFormat="1" applyFont="1" applyFill="1" applyBorder="1" applyAlignment="1">
      <alignment horizontal="center" vertical="center"/>
    </xf>
    <xf numFmtId="10" fontId="32" fillId="0" borderId="0" xfId="101" applyNumberFormat="1" applyFont="1" applyFill="1" applyBorder="1" applyAlignment="1">
      <alignment vertical="center"/>
    </xf>
    <xf numFmtId="10" fontId="31" fillId="0" borderId="0" xfId="106" applyNumberFormat="1" applyFont="1" applyFill="1" applyBorder="1" applyAlignment="1" applyProtection="1">
      <alignment vertical="center"/>
      <protection/>
    </xf>
    <xf numFmtId="0" fontId="0" fillId="27" borderId="22" xfId="81" applyFont="1" applyFill="1" applyBorder="1" applyAlignment="1">
      <alignment vertical="center" wrapText="1"/>
      <protection/>
    </xf>
    <xf numFmtId="0" fontId="0" fillId="0" borderId="30" xfId="0" applyFont="1" applyFill="1" applyBorder="1" applyAlignment="1">
      <alignment vertical="center" wrapText="1"/>
    </xf>
    <xf numFmtId="172" fontId="32" fillId="0" borderId="0" xfId="42" applyNumberFormat="1" applyFont="1" applyFill="1" applyBorder="1" applyAlignment="1">
      <alignment horizontal="center" vertical="center" wrapText="1"/>
    </xf>
    <xf numFmtId="172" fontId="32" fillId="0" borderId="41" xfId="42" applyNumberFormat="1" applyFont="1" applyFill="1" applyBorder="1" applyAlignment="1">
      <alignment horizontal="center" vertical="center" wrapText="1"/>
    </xf>
    <xf numFmtId="172" fontId="32" fillId="0" borderId="41" xfId="42" applyNumberFormat="1" applyFont="1" applyFill="1" applyBorder="1" applyAlignment="1">
      <alignment vertical="center"/>
    </xf>
    <xf numFmtId="172" fontId="32" fillId="0" borderId="33" xfId="42" applyNumberFormat="1" applyFont="1" applyFill="1" applyBorder="1" applyAlignment="1">
      <alignment vertical="center"/>
    </xf>
    <xf numFmtId="0" fontId="18" fillId="0" borderId="0" xfId="81" applyFont="1" applyFill="1" applyBorder="1" applyAlignment="1">
      <alignment horizontal="center" vertical="center" wrapText="1"/>
      <protection/>
    </xf>
    <xf numFmtId="0" fontId="18" fillId="0" borderId="0" xfId="81" applyFont="1" applyFill="1" applyBorder="1" applyAlignment="1">
      <alignment horizontal="left" vertical="center" wrapText="1"/>
      <protection/>
    </xf>
    <xf numFmtId="0" fontId="32" fillId="0" borderId="0" xfId="81" applyFont="1" applyBorder="1" applyAlignment="1">
      <alignment horizontal="center" vertical="center" wrapText="1"/>
      <protection/>
    </xf>
    <xf numFmtId="43" fontId="31" fillId="0" borderId="0" xfId="42" applyFont="1" applyBorder="1" applyAlignment="1">
      <alignment vertical="center"/>
    </xf>
    <xf numFmtId="0" fontId="29" fillId="0" borderId="0" xfId="0" applyFont="1" applyAlignment="1">
      <alignment vertical="center"/>
    </xf>
    <xf numFmtId="168" fontId="0" fillId="0" borderId="0" xfId="0" applyNumberFormat="1" applyAlignment="1">
      <alignment vertical="center"/>
    </xf>
    <xf numFmtId="168" fontId="20" fillId="0" borderId="46" xfId="0" applyNumberFormat="1" applyFont="1" applyBorder="1" applyAlignment="1">
      <alignment vertical="center"/>
    </xf>
    <xf numFmtId="3" fontId="20" fillId="0" borderId="0" xfId="0" applyNumberFormat="1" applyFont="1" applyAlignment="1">
      <alignment vertical="center"/>
    </xf>
    <xf numFmtId="0" fontId="0" fillId="0" borderId="34" xfId="0" applyNumberFormat="1" applyFont="1" applyFill="1" applyBorder="1" applyAlignment="1">
      <alignment horizontal="center" vertical="center"/>
    </xf>
    <xf numFmtId="0" fontId="20" fillId="0" borderId="22" xfId="0" applyFont="1" applyBorder="1" applyAlignment="1">
      <alignment horizontal="center" vertical="center"/>
    </xf>
    <xf numFmtId="172" fontId="0" fillId="0" borderId="32" xfId="81" applyNumberFormat="1" applyBorder="1" applyAlignment="1">
      <alignment horizontal="center" vertical="center"/>
      <protection/>
    </xf>
    <xf numFmtId="172" fontId="0" fillId="0" borderId="32" xfId="0" applyNumberFormat="1" applyFont="1" applyFill="1" applyBorder="1" applyAlignment="1">
      <alignment horizontal="center" vertical="center" wrapText="1"/>
    </xf>
    <xf numFmtId="172" fontId="0" fillId="0" borderId="47" xfId="81" applyNumberFormat="1" applyBorder="1" applyAlignment="1">
      <alignment horizontal="center" vertical="center"/>
      <protection/>
    </xf>
    <xf numFmtId="172" fontId="20" fillId="0" borderId="48" xfId="42" applyNumberFormat="1" applyFont="1" applyFill="1" applyBorder="1" applyAlignment="1">
      <alignment horizontal="center" vertical="center"/>
    </xf>
    <xf numFmtId="172" fontId="20" fillId="0" borderId="49" xfId="42" applyNumberFormat="1" applyFont="1" applyFill="1" applyBorder="1" applyAlignment="1">
      <alignment vertical="center"/>
    </xf>
    <xf numFmtId="4" fontId="0" fillId="0" borderId="49" xfId="0" applyNumberFormat="1" applyFont="1" applyFill="1" applyBorder="1" applyAlignment="1">
      <alignment vertical="center"/>
    </xf>
    <xf numFmtId="3" fontId="0" fillId="0" borderId="49" xfId="0" applyNumberFormat="1" applyFont="1" applyFill="1" applyBorder="1" applyAlignment="1">
      <alignment vertical="center"/>
    </xf>
    <xf numFmtId="172" fontId="0" fillId="0" borderId="49" xfId="42" applyNumberFormat="1" applyFont="1" applyFill="1" applyBorder="1" applyAlignment="1">
      <alignment vertical="center"/>
    </xf>
    <xf numFmtId="172" fontId="0" fillId="0" borderId="50" xfId="42" applyNumberFormat="1" applyFont="1" applyFill="1" applyBorder="1" applyAlignment="1">
      <alignment vertical="center"/>
    </xf>
    <xf numFmtId="172" fontId="20" fillId="0" borderId="51" xfId="42" applyNumberFormat="1" applyFont="1" applyFill="1" applyBorder="1" applyAlignment="1">
      <alignment vertical="center"/>
    </xf>
    <xf numFmtId="3" fontId="20" fillId="0" borderId="49" xfId="0" applyNumberFormat="1" applyFont="1" applyFill="1" applyBorder="1" applyAlignment="1">
      <alignment vertical="center"/>
    </xf>
    <xf numFmtId="3" fontId="0" fillId="0" borderId="49" xfId="0" applyNumberFormat="1" applyFill="1" applyBorder="1" applyAlignment="1">
      <alignment vertical="center"/>
    </xf>
    <xf numFmtId="172" fontId="20" fillId="0" borderId="52" xfId="42" applyNumberFormat="1" applyFont="1" applyFill="1" applyBorder="1" applyAlignment="1">
      <alignment vertical="center"/>
    </xf>
    <xf numFmtId="3" fontId="0" fillId="0" borderId="22" xfId="81" applyNumberFormat="1" applyFont="1" applyFill="1" applyBorder="1" applyAlignment="1">
      <alignment vertical="center"/>
      <protection/>
    </xf>
    <xf numFmtId="0" fontId="31" fillId="0" borderId="0" xfId="81" applyFont="1" applyFill="1" applyBorder="1" applyAlignment="1">
      <alignment vertical="center"/>
      <protection/>
    </xf>
    <xf numFmtId="0" fontId="31" fillId="0" borderId="0" xfId="81" applyFont="1" applyFill="1" applyBorder="1" applyAlignment="1">
      <alignment horizontal="right" vertical="center"/>
      <protection/>
    </xf>
    <xf numFmtId="172" fontId="0" fillId="0" borderId="0" xfId="81" applyNumberFormat="1" applyFont="1" applyFill="1" applyBorder="1" applyAlignment="1">
      <alignment vertical="center"/>
      <protection/>
    </xf>
    <xf numFmtId="0" fontId="18" fillId="0" borderId="32" xfId="81" applyFont="1" applyFill="1" applyBorder="1" applyAlignment="1">
      <alignment horizontal="center" vertical="center" wrapText="1"/>
      <protection/>
    </xf>
    <xf numFmtId="0" fontId="18" fillId="0" borderId="53" xfId="81" applyFont="1" applyBorder="1" applyAlignment="1">
      <alignment horizontal="center" vertical="center" wrapText="1"/>
      <protection/>
    </xf>
    <xf numFmtId="0" fontId="18" fillId="0" borderId="27" xfId="81" applyFont="1" applyBorder="1" applyAlignment="1">
      <alignment horizontal="left" vertical="center" wrapText="1"/>
      <protection/>
    </xf>
    <xf numFmtId="172" fontId="0" fillId="0" borderId="29" xfId="81" applyNumberFormat="1" applyBorder="1" applyAlignment="1">
      <alignment horizontal="center" vertical="center"/>
      <protection/>
    </xf>
    <xf numFmtId="43" fontId="32" fillId="0" borderId="0" xfId="81" applyNumberFormat="1" applyFont="1" applyBorder="1" applyAlignment="1">
      <alignment vertical="center"/>
      <protection/>
    </xf>
    <xf numFmtId="3" fontId="20" fillId="0" borderId="41" xfId="0" applyNumberFormat="1" applyFont="1" applyFill="1" applyBorder="1" applyAlignment="1">
      <alignment vertical="center"/>
    </xf>
    <xf numFmtId="3" fontId="21" fillId="0" borderId="34" xfId="0" applyNumberFormat="1" applyFont="1" applyFill="1" applyBorder="1" applyAlignment="1">
      <alignment vertical="center"/>
    </xf>
    <xf numFmtId="43" fontId="0" fillId="0" borderId="34" xfId="42" applyFont="1" applyFill="1" applyBorder="1" applyAlignment="1">
      <alignment vertical="center"/>
    </xf>
    <xf numFmtId="3" fontId="18" fillId="0" borderId="34" xfId="0" applyNumberFormat="1" applyFont="1" applyFill="1" applyBorder="1" applyAlignment="1">
      <alignment vertical="center"/>
    </xf>
    <xf numFmtId="0" fontId="20" fillId="26" borderId="54" xfId="0" applyFont="1" applyFill="1" applyBorder="1" applyAlignment="1">
      <alignment horizontal="center" vertical="center" wrapText="1"/>
    </xf>
    <xf numFmtId="4" fontId="0" fillId="26" borderId="55" xfId="0" applyNumberFormat="1" applyFont="1" applyFill="1" applyBorder="1" applyAlignment="1">
      <alignment vertical="center"/>
    </xf>
    <xf numFmtId="4" fontId="20" fillId="26" borderId="55" xfId="0" applyNumberFormat="1" applyFont="1" applyFill="1" applyBorder="1" applyAlignment="1">
      <alignment vertical="center"/>
    </xf>
    <xf numFmtId="172" fontId="0" fillId="26" borderId="55" xfId="42" applyNumberFormat="1" applyFont="1" applyFill="1" applyBorder="1" applyAlignment="1">
      <alignment vertical="center"/>
    </xf>
    <xf numFmtId="172" fontId="20" fillId="26" borderId="55" xfId="42" applyNumberFormat="1" applyFont="1" applyFill="1" applyBorder="1" applyAlignment="1">
      <alignment vertical="center"/>
    </xf>
    <xf numFmtId="4" fontId="21" fillId="26" borderId="55" xfId="0" applyNumberFormat="1" applyFont="1" applyFill="1" applyBorder="1" applyAlignment="1">
      <alignment vertical="center"/>
    </xf>
    <xf numFmtId="4" fontId="0" fillId="26" borderId="55" xfId="0" applyNumberFormat="1" applyFill="1" applyBorder="1" applyAlignment="1">
      <alignment vertical="center"/>
    </xf>
    <xf numFmtId="3" fontId="18" fillId="26" borderId="55" xfId="0" applyNumberFormat="1" applyFont="1" applyFill="1" applyBorder="1" applyAlignment="1">
      <alignment vertical="center"/>
    </xf>
    <xf numFmtId="3" fontId="21" fillId="26" borderId="55" xfId="0" applyNumberFormat="1" applyFont="1" applyFill="1" applyBorder="1" applyAlignment="1">
      <alignment vertical="center"/>
    </xf>
    <xf numFmtId="172" fontId="20" fillId="26" borderId="56" xfId="42" applyNumberFormat="1" applyFont="1" applyFill="1" applyBorder="1" applyAlignment="1">
      <alignment vertical="center"/>
    </xf>
    <xf numFmtId="43" fontId="0" fillId="0" borderId="0" xfId="42" applyFill="1" applyBorder="1" applyAlignment="1">
      <alignment vertical="center"/>
    </xf>
    <xf numFmtId="43" fontId="0" fillId="0" borderId="0" xfId="0" applyNumberFormat="1" applyFill="1" applyBorder="1" applyAlignment="1">
      <alignment vertical="center"/>
    </xf>
    <xf numFmtId="43" fontId="0" fillId="0" borderId="0" xfId="42" applyFill="1" applyBorder="1" applyAlignment="1">
      <alignment horizontal="center" vertical="center"/>
    </xf>
    <xf numFmtId="43" fontId="0" fillId="0" borderId="0" xfId="0" applyNumberFormat="1" applyFont="1" applyFill="1" applyBorder="1" applyAlignment="1">
      <alignment horizontal="center" vertical="center"/>
    </xf>
    <xf numFmtId="0" fontId="22" fillId="0" borderId="0" xfId="0" applyFont="1" applyFill="1" applyBorder="1" applyAlignment="1">
      <alignment horizontal="center"/>
    </xf>
    <xf numFmtId="164" fontId="20" fillId="0" borderId="0" xfId="0" applyNumberFormat="1" applyFont="1" applyFill="1" applyBorder="1" applyAlignment="1">
      <alignment horizontal="center" vertical="center"/>
    </xf>
    <xf numFmtId="172" fontId="20" fillId="0" borderId="57" xfId="42" applyNumberFormat="1" applyFont="1" applyFill="1" applyBorder="1" applyAlignment="1">
      <alignment horizontal="center" vertical="center"/>
    </xf>
    <xf numFmtId="172" fontId="20" fillId="0" borderId="58" xfId="42" applyNumberFormat="1" applyFont="1" applyFill="1" applyBorder="1" applyAlignment="1">
      <alignment horizontal="center" vertical="center"/>
    </xf>
    <xf numFmtId="172" fontId="20" fillId="0" borderId="59" xfId="42" applyNumberFormat="1" applyFont="1" applyFill="1" applyBorder="1" applyAlignment="1">
      <alignment horizontal="center" vertical="center" wrapText="1"/>
    </xf>
    <xf numFmtId="172" fontId="20" fillId="0" borderId="60" xfId="42" applyNumberFormat="1" applyFont="1" applyFill="1" applyBorder="1" applyAlignment="1">
      <alignment horizontal="center" vertical="center" wrapText="1"/>
    </xf>
    <xf numFmtId="172" fontId="20" fillId="0" borderId="61" xfId="42" applyNumberFormat="1" applyFont="1" applyFill="1" applyBorder="1" applyAlignment="1">
      <alignment horizontal="center" vertical="center" wrapText="1"/>
    </xf>
    <xf numFmtId="0" fontId="25" fillId="0" borderId="0" xfId="81" applyFont="1" applyBorder="1" applyAlignment="1">
      <alignment horizontal="center" vertical="center"/>
      <protection/>
    </xf>
    <xf numFmtId="164" fontId="25" fillId="0" borderId="0" xfId="81" applyNumberFormat="1" applyFont="1" applyBorder="1" applyAlignment="1">
      <alignment horizontal="center" vertical="center"/>
      <protection/>
    </xf>
    <xf numFmtId="172" fontId="20" fillId="0" borderId="62" xfId="81" applyNumberFormat="1" applyFont="1" applyBorder="1" applyAlignment="1">
      <alignment horizontal="center" vertical="center" wrapText="1"/>
      <protection/>
    </xf>
    <xf numFmtId="0" fontId="20" fillId="0" borderId="63" xfId="81" applyFont="1" applyBorder="1" applyAlignment="1">
      <alignment horizontal="center" vertical="center" wrapText="1"/>
      <protection/>
    </xf>
    <xf numFmtId="0" fontId="23" fillId="0" borderId="20" xfId="81" applyFont="1" applyFill="1" applyBorder="1" applyAlignment="1">
      <alignment horizontal="left" vertical="center" wrapText="1"/>
      <protection/>
    </xf>
    <xf numFmtId="0" fontId="23" fillId="0" borderId="21" xfId="81" applyFont="1" applyFill="1" applyBorder="1" applyAlignment="1">
      <alignment horizontal="left" vertical="center" wrapText="1"/>
      <protection/>
    </xf>
    <xf numFmtId="17" fontId="22" fillId="24" borderId="15" xfId="81" applyNumberFormat="1" applyFont="1" applyFill="1" applyBorder="1" applyAlignment="1">
      <alignment horizontal="center" vertical="center" wrapText="1"/>
      <protection/>
    </xf>
    <xf numFmtId="17" fontId="22" fillId="24" borderId="10" xfId="81" applyNumberFormat="1" applyFont="1" applyFill="1" applyBorder="1" applyAlignment="1">
      <alignment horizontal="center" vertical="center" wrapText="1"/>
      <protection/>
    </xf>
    <xf numFmtId="17" fontId="22" fillId="24" borderId="11" xfId="81" applyNumberFormat="1" applyFont="1" applyFill="1" applyBorder="1" applyAlignment="1">
      <alignment horizontal="center" vertical="center" wrapText="1"/>
      <protection/>
    </xf>
    <xf numFmtId="0" fontId="22" fillId="24" borderId="64" xfId="81" applyFont="1" applyFill="1" applyBorder="1" applyAlignment="1">
      <alignment horizontal="center" vertical="center" wrapText="1"/>
      <protection/>
    </xf>
    <xf numFmtId="0" fontId="22" fillId="24" borderId="65" xfId="81" applyFont="1" applyFill="1" applyBorder="1" applyAlignment="1">
      <alignment horizontal="center" vertical="center" wrapText="1"/>
      <protection/>
    </xf>
    <xf numFmtId="0" fontId="22" fillId="24" borderId="17" xfId="81" applyFont="1" applyFill="1" applyBorder="1" applyAlignment="1">
      <alignment horizontal="center" vertical="center" wrapText="1"/>
      <protection/>
    </xf>
    <xf numFmtId="172" fontId="0" fillId="24" borderId="64" xfId="42" applyNumberFormat="1" applyFont="1" applyFill="1" applyBorder="1" applyAlignment="1">
      <alignment horizontal="center" vertical="center" wrapText="1"/>
    </xf>
    <xf numFmtId="172" fontId="0" fillId="24" borderId="65" xfId="42" applyNumberFormat="1" applyFont="1" applyFill="1" applyBorder="1" applyAlignment="1">
      <alignment horizontal="center" vertical="center" wrapText="1"/>
    </xf>
    <xf numFmtId="172" fontId="0" fillId="24" borderId="17" xfId="42" applyNumberFormat="1" applyFont="1" applyFill="1" applyBorder="1" applyAlignment="1">
      <alignment horizontal="center" vertical="center" wrapText="1"/>
    </xf>
    <xf numFmtId="0" fontId="22" fillId="0" borderId="20" xfId="81" applyFont="1" applyFill="1" applyBorder="1" applyAlignment="1">
      <alignment horizontal="left" vertical="center" wrapText="1"/>
      <protection/>
    </xf>
    <xf numFmtId="0" fontId="22" fillId="0" borderId="21" xfId="81" applyFont="1" applyFill="1" applyBorder="1" applyAlignment="1">
      <alignment horizontal="left" vertical="center" wrapText="1"/>
      <protection/>
    </xf>
  </cellXfs>
  <cellStyles count="1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2" xfId="49"/>
    <cellStyle name="Comma 2 2 2" xfId="50"/>
    <cellStyle name="Comma 3" xfId="51"/>
    <cellStyle name="Comma 4" xfId="52"/>
    <cellStyle name="Comma 4 10" xfId="53"/>
    <cellStyle name="Comma 4 11" xfId="54"/>
    <cellStyle name="Comma 4 12" xfId="55"/>
    <cellStyle name="Comma 4 2" xfId="56"/>
    <cellStyle name="Comma 4 3" xfId="57"/>
    <cellStyle name="Comma 4 4" xfId="58"/>
    <cellStyle name="Comma 4 5" xfId="59"/>
    <cellStyle name="Comma 4 6" xfId="60"/>
    <cellStyle name="Comma 4 7" xfId="61"/>
    <cellStyle name="Comma 4 8" xfId="62"/>
    <cellStyle name="Comma 4 9" xfId="63"/>
    <cellStyle name="Comma 5" xfId="64"/>
    <cellStyle name="Comma 6" xfId="65"/>
    <cellStyle name="Comma 7" xfId="66"/>
    <cellStyle name="Comma 8" xfId="67"/>
    <cellStyle name="Comma 9" xfId="68"/>
    <cellStyle name="Currency" xfId="69"/>
    <cellStyle name="Currency [0]" xfId="70"/>
    <cellStyle name="Currency 2 3"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rmal 2" xfId="81"/>
    <cellStyle name="Normal 3" xfId="82"/>
    <cellStyle name="Normal 4" xfId="83"/>
    <cellStyle name="Normal 5" xfId="84"/>
    <cellStyle name="Normal 6" xfId="85"/>
    <cellStyle name="Normal 7" xfId="86"/>
    <cellStyle name="Normal 8" xfId="87"/>
    <cellStyle name="Note" xfId="88"/>
    <cellStyle name="Note 10" xfId="89"/>
    <cellStyle name="Note 11" xfId="90"/>
    <cellStyle name="Note 12" xfId="91"/>
    <cellStyle name="Note 2" xfId="92"/>
    <cellStyle name="Note 3" xfId="93"/>
    <cellStyle name="Note 4" xfId="94"/>
    <cellStyle name="Note 5" xfId="95"/>
    <cellStyle name="Note 6" xfId="96"/>
    <cellStyle name="Note 7" xfId="97"/>
    <cellStyle name="Note 8" xfId="98"/>
    <cellStyle name="Note 9" xfId="99"/>
    <cellStyle name="Output" xfId="100"/>
    <cellStyle name="Percent" xfId="101"/>
    <cellStyle name="Percent 10" xfId="102"/>
    <cellStyle name="Percent 11" xfId="103"/>
    <cellStyle name="Percent 12" xfId="104"/>
    <cellStyle name="Percent 13" xfId="105"/>
    <cellStyle name="Percent 2" xfId="106"/>
    <cellStyle name="Percent 3" xfId="107"/>
    <cellStyle name="Percent 4" xfId="108"/>
    <cellStyle name="Percent 5" xfId="109"/>
    <cellStyle name="Percent 6" xfId="110"/>
    <cellStyle name="Percent 7" xfId="111"/>
    <cellStyle name="Percent 8" xfId="112"/>
    <cellStyle name="Percent 9" xfId="113"/>
    <cellStyle name="Title" xfId="114"/>
    <cellStyle name="Total"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189"/>
  <sheetViews>
    <sheetView tabSelected="1" zoomScaleSheetLayoutView="70" zoomScalePageLayoutView="0" workbookViewId="0" topLeftCell="A1">
      <pane xSplit="2" ySplit="6" topLeftCell="C16" activePane="bottomRight" state="frozen"/>
      <selection pane="topLeft" activeCell="A1" sqref="A1"/>
      <selection pane="topRight" activeCell="C1" sqref="C1"/>
      <selection pane="bottomLeft" activeCell="A6" sqref="A6"/>
      <selection pane="bottomRight" activeCell="B23" sqref="B23"/>
    </sheetView>
  </sheetViews>
  <sheetFormatPr defaultColWidth="9.140625" defaultRowHeight="12.75"/>
  <cols>
    <col min="1" max="1" width="7.00390625" style="201" customWidth="1"/>
    <col min="2" max="2" width="31.7109375" style="162" customWidth="1"/>
    <col min="3" max="3" width="6.7109375" style="201" customWidth="1"/>
    <col min="4" max="4" width="13.7109375" style="201" hidden="1" customWidth="1"/>
    <col min="5" max="5" width="12.421875" style="201" hidden="1" customWidth="1"/>
    <col min="6" max="6" width="13.7109375" style="162" customWidth="1"/>
    <col min="7" max="7" width="12.7109375" style="162" customWidth="1"/>
    <col min="8" max="8" width="14.8515625" style="162" customWidth="1"/>
    <col min="9" max="9" width="13.00390625" style="162" hidden="1" customWidth="1"/>
    <col min="10" max="10" width="14.00390625" style="9" hidden="1" customWidth="1"/>
    <col min="11" max="15" width="9.28125" style="143" hidden="1" customWidth="1"/>
    <col min="16" max="16" width="12.421875" style="143" hidden="1" customWidth="1"/>
    <col min="17" max="17" width="13.421875" style="143" hidden="1" customWidth="1"/>
    <col min="18" max="19" width="12.00390625" style="143" hidden="1" customWidth="1"/>
    <col min="20" max="20" width="10.57421875" style="162" hidden="1" customWidth="1"/>
    <col min="21" max="21" width="7.7109375" style="10" customWidth="1"/>
    <col min="22" max="22" width="43.57421875" style="48" hidden="1" customWidth="1"/>
    <col min="23" max="23" width="10.28125" style="9" hidden="1" customWidth="1"/>
    <col min="24" max="25" width="14.00390625" style="9" hidden="1" customWidth="1"/>
    <col min="26" max="16384" width="9.140625" style="162" customWidth="1"/>
  </cols>
  <sheetData>
    <row r="1" spans="1:20" ht="10.5" customHeight="1">
      <c r="A1" s="160"/>
      <c r="B1" s="49"/>
      <c r="C1" s="160"/>
      <c r="D1" s="160"/>
      <c r="E1" s="160"/>
      <c r="F1" s="49"/>
      <c r="G1" s="49"/>
      <c r="H1" s="49"/>
      <c r="I1" s="49"/>
      <c r="T1" s="49"/>
    </row>
    <row r="2" spans="1:22" ht="15.75">
      <c r="A2" s="345" t="s">
        <v>227</v>
      </c>
      <c r="B2" s="345"/>
      <c r="C2" s="345"/>
      <c r="D2" s="345"/>
      <c r="E2" s="345"/>
      <c r="F2" s="345"/>
      <c r="G2" s="345"/>
      <c r="H2" s="345"/>
      <c r="I2" s="345"/>
      <c r="J2" s="345"/>
      <c r="K2" s="345"/>
      <c r="L2" s="345"/>
      <c r="M2" s="345"/>
      <c r="N2" s="345"/>
      <c r="O2" s="345"/>
      <c r="P2" s="345"/>
      <c r="Q2" s="345"/>
      <c r="R2" s="345"/>
      <c r="S2" s="345"/>
      <c r="T2" s="345"/>
      <c r="U2" s="345"/>
      <c r="V2" s="345"/>
    </row>
    <row r="3" spans="1:25" ht="15.75">
      <c r="A3" s="345" t="s">
        <v>226</v>
      </c>
      <c r="B3" s="345"/>
      <c r="C3" s="345"/>
      <c r="D3" s="345"/>
      <c r="E3" s="345"/>
      <c r="F3" s="345"/>
      <c r="G3" s="345"/>
      <c r="H3" s="345"/>
      <c r="I3" s="345"/>
      <c r="J3" s="345"/>
      <c r="K3" s="345"/>
      <c r="L3" s="345"/>
      <c r="M3" s="345"/>
      <c r="N3" s="345"/>
      <c r="O3" s="345"/>
      <c r="P3" s="345"/>
      <c r="Q3" s="345"/>
      <c r="R3" s="345"/>
      <c r="S3" s="345"/>
      <c r="T3" s="345"/>
      <c r="U3" s="345"/>
      <c r="V3" s="345"/>
      <c r="W3" s="161"/>
      <c r="X3" s="162"/>
      <c r="Y3" s="162"/>
    </row>
    <row r="4" spans="1:25" ht="13.5" thickBot="1">
      <c r="A4" s="346">
        <v>40725</v>
      </c>
      <c r="B4" s="346"/>
      <c r="C4" s="346"/>
      <c r="D4" s="346"/>
      <c r="E4" s="346"/>
      <c r="F4" s="346"/>
      <c r="G4" s="346"/>
      <c r="H4" s="346"/>
      <c r="I4" s="346"/>
      <c r="J4" s="346"/>
      <c r="K4" s="346"/>
      <c r="L4" s="346"/>
      <c r="M4" s="346"/>
      <c r="N4" s="346"/>
      <c r="O4" s="346"/>
      <c r="P4" s="346"/>
      <c r="Q4" s="346"/>
      <c r="R4" s="346"/>
      <c r="S4" s="346"/>
      <c r="T4" s="346"/>
      <c r="U4" s="346"/>
      <c r="V4" s="346"/>
      <c r="W4" s="161"/>
      <c r="X4" s="162"/>
      <c r="Y4" s="162"/>
    </row>
    <row r="5" spans="1:20" ht="13.5" thickBot="1">
      <c r="A5" s="160"/>
      <c r="B5" s="49"/>
      <c r="C5" s="10"/>
      <c r="D5" s="10"/>
      <c r="E5" s="10"/>
      <c r="F5" s="49"/>
      <c r="G5" s="49"/>
      <c r="H5" s="49"/>
      <c r="I5" s="49"/>
      <c r="P5" s="349" t="s">
        <v>154</v>
      </c>
      <c r="Q5" s="350"/>
      <c r="R5" s="351"/>
      <c r="S5" s="291"/>
      <c r="T5" s="49"/>
    </row>
    <row r="6" spans="1:25" s="167" customFormat="1" ht="39.75" customHeight="1">
      <c r="A6" s="164" t="s">
        <v>0</v>
      </c>
      <c r="B6" s="164" t="s">
        <v>1</v>
      </c>
      <c r="C6" s="229" t="s">
        <v>64</v>
      </c>
      <c r="D6" s="235" t="s">
        <v>152</v>
      </c>
      <c r="E6" s="236" t="s">
        <v>153</v>
      </c>
      <c r="F6" s="263" t="s">
        <v>65</v>
      </c>
      <c r="G6" s="269" t="s">
        <v>129</v>
      </c>
      <c r="H6" s="331" t="s">
        <v>221</v>
      </c>
      <c r="I6" s="165" t="s">
        <v>222</v>
      </c>
      <c r="J6" s="166" t="s">
        <v>2</v>
      </c>
      <c r="K6" s="82" t="s">
        <v>164</v>
      </c>
      <c r="L6" s="82" t="s">
        <v>157</v>
      </c>
      <c r="M6" s="82" t="s">
        <v>146</v>
      </c>
      <c r="N6" s="82" t="s">
        <v>143</v>
      </c>
      <c r="O6" s="248" t="s">
        <v>140</v>
      </c>
      <c r="P6" s="258" t="s">
        <v>155</v>
      </c>
      <c r="Q6" s="228" t="s">
        <v>152</v>
      </c>
      <c r="R6" s="259" t="s">
        <v>153</v>
      </c>
      <c r="S6" s="292" t="s">
        <v>214</v>
      </c>
      <c r="T6" s="165" t="s">
        <v>3</v>
      </c>
      <c r="U6" s="164" t="s">
        <v>4</v>
      </c>
      <c r="V6" s="164" t="s">
        <v>5</v>
      </c>
      <c r="W6" s="213" t="s">
        <v>147</v>
      </c>
      <c r="X6" s="219" t="s">
        <v>148</v>
      </c>
      <c r="Y6" s="213" t="s">
        <v>149</v>
      </c>
    </row>
    <row r="7" spans="1:25" ht="15.75" customHeight="1">
      <c r="A7" s="122"/>
      <c r="B7" s="70"/>
      <c r="C7" s="230"/>
      <c r="D7" s="237"/>
      <c r="E7" s="266"/>
      <c r="F7" s="264"/>
      <c r="G7" s="270"/>
      <c r="H7" s="332"/>
      <c r="I7" s="168"/>
      <c r="J7" s="169"/>
      <c r="K7" s="98"/>
      <c r="L7" s="98"/>
      <c r="M7" s="98"/>
      <c r="N7" s="98"/>
      <c r="O7" s="249"/>
      <c r="P7" s="260"/>
      <c r="Q7" s="100"/>
      <c r="R7" s="240"/>
      <c r="S7" s="250"/>
      <c r="T7" s="252"/>
      <c r="U7" s="170"/>
      <c r="V7" s="138"/>
      <c r="W7" s="169"/>
      <c r="X7" s="169"/>
      <c r="Y7" s="169"/>
    </row>
    <row r="8" spans="1:25" ht="15.75" customHeight="1">
      <c r="A8" s="304">
        <v>1</v>
      </c>
      <c r="B8" s="61" t="s">
        <v>75</v>
      </c>
      <c r="C8" s="231"/>
      <c r="D8" s="238"/>
      <c r="E8" s="267"/>
      <c r="F8" s="265"/>
      <c r="G8" s="271"/>
      <c r="H8" s="333"/>
      <c r="I8" s="173"/>
      <c r="J8" s="173"/>
      <c r="K8" s="174"/>
      <c r="L8" s="174"/>
      <c r="M8" s="174"/>
      <c r="N8" s="174"/>
      <c r="O8" s="250"/>
      <c r="P8" s="260"/>
      <c r="Q8" s="176"/>
      <c r="R8" s="262"/>
      <c r="S8" s="250"/>
      <c r="T8" s="252"/>
      <c r="U8" s="170"/>
      <c r="V8" s="175"/>
      <c r="W8" s="173"/>
      <c r="X8" s="173"/>
      <c r="Y8" s="173"/>
    </row>
    <row r="9" spans="1:25" ht="39" customHeight="1">
      <c r="A9" s="79" t="s">
        <v>117</v>
      </c>
      <c r="B9" s="62" t="s">
        <v>76</v>
      </c>
      <c r="C9" s="84">
        <v>2011</v>
      </c>
      <c r="D9" s="239"/>
      <c r="E9" s="268"/>
      <c r="F9" s="97">
        <f>1000000-73641</f>
        <v>926359</v>
      </c>
      <c r="G9" s="272">
        <f>F9-H9</f>
        <v>390674.72</v>
      </c>
      <c r="H9" s="334">
        <v>535684.28</v>
      </c>
      <c r="I9" s="176">
        <f>+H9-J9</f>
        <v>0</v>
      </c>
      <c r="J9" s="176">
        <v>535684.28</v>
      </c>
      <c r="K9" s="174"/>
      <c r="L9" s="174"/>
      <c r="M9" s="174"/>
      <c r="N9" s="174"/>
      <c r="O9" s="250"/>
      <c r="P9" s="261"/>
      <c r="Q9" s="176"/>
      <c r="R9" s="262"/>
      <c r="S9" s="250"/>
      <c r="T9" s="253"/>
      <c r="U9" s="182" t="s">
        <v>225</v>
      </c>
      <c r="V9" s="138"/>
      <c r="W9" s="176"/>
      <c r="X9" s="176"/>
      <c r="Y9" s="176"/>
    </row>
    <row r="10" spans="1:25" ht="27.75" customHeight="1">
      <c r="A10" s="79" t="s">
        <v>130</v>
      </c>
      <c r="B10" s="130" t="s">
        <v>141</v>
      </c>
      <c r="C10" s="84">
        <v>2011</v>
      </c>
      <c r="D10" s="224">
        <f>F10</f>
        <v>320735</v>
      </c>
      <c r="E10" s="84"/>
      <c r="F10" s="100">
        <f>500000-179265</f>
        <v>320735</v>
      </c>
      <c r="G10" s="272">
        <f>F10-H10</f>
        <v>288984.92</v>
      </c>
      <c r="H10" s="334">
        <v>31750.08</v>
      </c>
      <c r="I10" s="176">
        <f>+H10-J10</f>
        <v>0</v>
      </c>
      <c r="J10" s="176">
        <v>31750.08</v>
      </c>
      <c r="K10" s="174"/>
      <c r="L10" s="174"/>
      <c r="M10" s="174"/>
      <c r="N10" s="174"/>
      <c r="O10" s="250"/>
      <c r="P10" s="261"/>
      <c r="Q10" s="176"/>
      <c r="R10" s="262"/>
      <c r="S10" s="250"/>
      <c r="T10" s="253"/>
      <c r="U10" s="170" t="s">
        <v>81</v>
      </c>
      <c r="V10" s="138"/>
      <c r="W10" s="176"/>
      <c r="X10" s="176"/>
      <c r="Y10" s="176"/>
    </row>
    <row r="11" spans="1:25" ht="18" customHeight="1">
      <c r="A11" s="122"/>
      <c r="B11" s="70"/>
      <c r="C11" s="230"/>
      <c r="D11" s="237"/>
      <c r="E11" s="230"/>
      <c r="F11" s="309">
        <f>SUM(F9:F10)</f>
        <v>1247094</v>
      </c>
      <c r="G11" s="273">
        <f>SUM(G9:G10)</f>
        <v>679659.6399999999</v>
      </c>
      <c r="H11" s="335">
        <f>SUM(H9:H10)</f>
        <v>567434.36</v>
      </c>
      <c r="I11" s="177">
        <f>SUM(I9:I10)</f>
        <v>0</v>
      </c>
      <c r="J11" s="101">
        <f>SUM(J9:J10)</f>
        <v>567434.36</v>
      </c>
      <c r="K11" s="174"/>
      <c r="L11" s="174"/>
      <c r="M11" s="174"/>
      <c r="N11" s="174"/>
      <c r="O11" s="250"/>
      <c r="P11" s="277" t="e">
        <f>SUM(#REF!)</f>
        <v>#REF!</v>
      </c>
      <c r="Q11" s="101" t="e">
        <f>SUM(#REF!)</f>
        <v>#REF!</v>
      </c>
      <c r="R11" s="241" t="e">
        <f>SUM(#REF!)</f>
        <v>#REF!</v>
      </c>
      <c r="S11" s="293"/>
      <c r="T11" s="252"/>
      <c r="U11" s="170"/>
      <c r="V11" s="138"/>
      <c r="W11" s="101" t="e">
        <f>SUM(#REF!)</f>
        <v>#REF!</v>
      </c>
      <c r="X11" s="101" t="e">
        <f>SUM(#REF!)</f>
        <v>#REF!</v>
      </c>
      <c r="Y11" s="101" t="e">
        <f>SUM(#REF!)</f>
        <v>#REF!</v>
      </c>
    </row>
    <row r="12" spans="1:25" ht="15.75" customHeight="1">
      <c r="A12" s="122"/>
      <c r="B12" s="70"/>
      <c r="C12" s="230"/>
      <c r="D12" s="237"/>
      <c r="E12" s="230"/>
      <c r="F12" s="310"/>
      <c r="G12" s="270"/>
      <c r="H12" s="332"/>
      <c r="I12" s="168"/>
      <c r="J12" s="169"/>
      <c r="K12" s="98"/>
      <c r="L12" s="98"/>
      <c r="M12" s="98"/>
      <c r="N12" s="98"/>
      <c r="O12" s="249"/>
      <c r="P12" s="260"/>
      <c r="Q12" s="100"/>
      <c r="R12" s="240"/>
      <c r="S12" s="250"/>
      <c r="T12" s="252"/>
      <c r="U12" s="170"/>
      <c r="V12" s="138"/>
      <c r="W12" s="169"/>
      <c r="X12" s="169"/>
      <c r="Y12" s="169"/>
    </row>
    <row r="13" spans="1:25" ht="21" customHeight="1">
      <c r="A13" s="184">
        <v>2</v>
      </c>
      <c r="B13" s="178" t="s">
        <v>7</v>
      </c>
      <c r="C13" s="230"/>
      <c r="D13" s="237"/>
      <c r="E13" s="230"/>
      <c r="F13" s="311"/>
      <c r="G13" s="270"/>
      <c r="H13" s="332"/>
      <c r="I13" s="168"/>
      <c r="J13" s="169"/>
      <c r="K13" s="98"/>
      <c r="L13" s="98"/>
      <c r="M13" s="98"/>
      <c r="N13" s="98"/>
      <c r="O13" s="249"/>
      <c r="P13" s="260"/>
      <c r="Q13" s="100"/>
      <c r="R13" s="240"/>
      <c r="S13" s="250"/>
      <c r="T13" s="252"/>
      <c r="U13" s="170"/>
      <c r="V13" s="138"/>
      <c r="W13" s="169"/>
      <c r="X13" s="169"/>
      <c r="Y13" s="169"/>
    </row>
    <row r="14" spans="1:25" ht="28.5" customHeight="1">
      <c r="A14" s="122" t="s">
        <v>136</v>
      </c>
      <c r="B14" s="138" t="s">
        <v>134</v>
      </c>
      <c r="C14" s="232">
        <v>2010</v>
      </c>
      <c r="D14" s="242"/>
      <c r="E14" s="306">
        <f>H14</f>
        <v>36555</v>
      </c>
      <c r="F14" s="311">
        <f>2445352+138909-17059</f>
        <v>2567202</v>
      </c>
      <c r="G14" s="272">
        <f>F14-H14</f>
        <v>2530647</v>
      </c>
      <c r="H14" s="334">
        <v>36555</v>
      </c>
      <c r="I14" s="176">
        <f aca="true" t="shared" si="0" ref="I14:I23">+H14-J14</f>
        <v>0</v>
      </c>
      <c r="J14" s="100">
        <v>36555</v>
      </c>
      <c r="K14" s="98">
        <v>-17059</v>
      </c>
      <c r="L14" s="98"/>
      <c r="M14" s="98"/>
      <c r="N14" s="98"/>
      <c r="O14" s="249"/>
      <c r="P14" s="261">
        <f>H14+M14</f>
        <v>36555</v>
      </c>
      <c r="Q14" s="100"/>
      <c r="R14" s="240">
        <f>P14</f>
        <v>36555</v>
      </c>
      <c r="S14" s="250"/>
      <c r="T14" s="253">
        <v>40534</v>
      </c>
      <c r="U14" s="170" t="s">
        <v>78</v>
      </c>
      <c r="V14" s="138" t="s">
        <v>206</v>
      </c>
      <c r="W14" s="100">
        <v>0</v>
      </c>
      <c r="X14" s="100">
        <v>0</v>
      </c>
      <c r="Y14" s="176">
        <f>H14-X14</f>
        <v>36555</v>
      </c>
    </row>
    <row r="15" spans="1:25" ht="28.5" customHeight="1">
      <c r="A15" s="77" t="s">
        <v>21</v>
      </c>
      <c r="B15" s="65" t="s">
        <v>88</v>
      </c>
      <c r="C15" s="84">
        <v>2011</v>
      </c>
      <c r="D15" s="84"/>
      <c r="E15" s="305">
        <f>F15</f>
        <v>3497733</v>
      </c>
      <c r="F15" s="100">
        <f>4100000-9630-145000-447637</f>
        <v>3497733</v>
      </c>
      <c r="G15" s="272">
        <f>F15-H15</f>
        <v>3539.7099999999627</v>
      </c>
      <c r="H15" s="334">
        <v>3494193.29</v>
      </c>
      <c r="I15" s="176">
        <f t="shared" si="0"/>
        <v>0</v>
      </c>
      <c r="J15" s="100">
        <v>3494193.29</v>
      </c>
      <c r="K15" s="98"/>
      <c r="L15" s="98"/>
      <c r="M15" s="98"/>
      <c r="N15" s="98"/>
      <c r="O15" s="249"/>
      <c r="P15" s="261"/>
      <c r="Q15" s="100"/>
      <c r="R15" s="240"/>
      <c r="S15" s="250"/>
      <c r="T15" s="253"/>
      <c r="U15" s="170" t="s">
        <v>77</v>
      </c>
      <c r="V15" s="138"/>
      <c r="W15" s="100"/>
      <c r="X15" s="100"/>
      <c r="Y15" s="176"/>
    </row>
    <row r="16" spans="1:25" ht="38.25">
      <c r="A16" s="77" t="s">
        <v>22</v>
      </c>
      <c r="B16" s="64" t="s">
        <v>87</v>
      </c>
      <c r="C16" s="84">
        <v>2011</v>
      </c>
      <c r="D16" s="84"/>
      <c r="E16" s="305">
        <f>F16</f>
        <v>1285759</v>
      </c>
      <c r="F16" s="100">
        <f>1031200+9630+244929</f>
        <v>1285759</v>
      </c>
      <c r="G16" s="272">
        <f>F16-H16</f>
        <v>665078.59</v>
      </c>
      <c r="H16" s="334">
        <v>620680.41</v>
      </c>
      <c r="I16" s="176">
        <f t="shared" si="0"/>
        <v>0</v>
      </c>
      <c r="J16" s="176">
        <v>620680.41</v>
      </c>
      <c r="K16" s="98"/>
      <c r="L16" s="98"/>
      <c r="M16" s="98"/>
      <c r="N16" s="98"/>
      <c r="O16" s="249"/>
      <c r="P16" s="261"/>
      <c r="Q16" s="100"/>
      <c r="R16" s="240"/>
      <c r="S16" s="250"/>
      <c r="T16" s="253"/>
      <c r="U16" s="170" t="s">
        <v>77</v>
      </c>
      <c r="V16" s="138"/>
      <c r="W16" s="176"/>
      <c r="X16" s="176"/>
      <c r="Y16" s="176"/>
    </row>
    <row r="17" spans="1:25" ht="25.5" customHeight="1">
      <c r="A17" s="77" t="s">
        <v>118</v>
      </c>
      <c r="B17" s="64" t="s">
        <v>82</v>
      </c>
      <c r="C17" s="84">
        <v>2011</v>
      </c>
      <c r="D17" s="224"/>
      <c r="E17" s="305">
        <f>F17</f>
        <v>307218</v>
      </c>
      <c r="F17" s="100">
        <f>380000-72782</f>
        <v>307218</v>
      </c>
      <c r="G17" s="272">
        <f aca="true" t="shared" si="1" ref="G17:G23">F17-H17</f>
        <v>207217.6</v>
      </c>
      <c r="H17" s="334">
        <v>100000.4</v>
      </c>
      <c r="I17" s="176">
        <f t="shared" si="0"/>
        <v>0</v>
      </c>
      <c r="J17" s="176">
        <v>100000.4</v>
      </c>
      <c r="K17" s="174"/>
      <c r="L17" s="174"/>
      <c r="M17" s="174"/>
      <c r="N17" s="174"/>
      <c r="O17" s="250"/>
      <c r="P17" s="261"/>
      <c r="Q17" s="100"/>
      <c r="R17" s="240"/>
      <c r="S17" s="250"/>
      <c r="T17" s="253"/>
      <c r="U17" s="170" t="s">
        <v>77</v>
      </c>
      <c r="V17" s="138"/>
      <c r="W17" s="176"/>
      <c r="X17" s="176"/>
      <c r="Y17" s="176"/>
    </row>
    <row r="18" spans="1:25" ht="25.5" customHeight="1">
      <c r="A18" s="77" t="s">
        <v>119</v>
      </c>
      <c r="B18" s="64" t="s">
        <v>83</v>
      </c>
      <c r="C18" s="84">
        <v>2011</v>
      </c>
      <c r="D18" s="224">
        <f>F18</f>
        <v>119780</v>
      </c>
      <c r="E18" s="124"/>
      <c r="F18" s="100">
        <f>75000+76000-31220</f>
        <v>119780</v>
      </c>
      <c r="G18" s="272">
        <f t="shared" si="1"/>
        <v>107279.27</v>
      </c>
      <c r="H18" s="334">
        <v>12500.73</v>
      </c>
      <c r="I18" s="176">
        <f t="shared" si="0"/>
        <v>0</v>
      </c>
      <c r="J18" s="176">
        <v>12500.73</v>
      </c>
      <c r="K18" s="174"/>
      <c r="L18" s="174"/>
      <c r="M18" s="174"/>
      <c r="N18" s="174"/>
      <c r="O18" s="250"/>
      <c r="P18" s="261"/>
      <c r="Q18" s="100"/>
      <c r="R18" s="240"/>
      <c r="S18" s="250"/>
      <c r="T18" s="253"/>
      <c r="U18" s="170" t="s">
        <v>77</v>
      </c>
      <c r="V18" s="138"/>
      <c r="W18" s="176"/>
      <c r="X18" s="176"/>
      <c r="Y18" s="176"/>
    </row>
    <row r="19" spans="1:25" ht="25.5" customHeight="1">
      <c r="A19" s="77" t="s">
        <v>120</v>
      </c>
      <c r="B19" s="64" t="s">
        <v>139</v>
      </c>
      <c r="C19" s="84">
        <v>2011</v>
      </c>
      <c r="D19" s="224"/>
      <c r="E19" s="305">
        <f>F19</f>
        <v>614218</v>
      </c>
      <c r="F19" s="100">
        <f>760000-76000-69782</f>
        <v>614218</v>
      </c>
      <c r="G19" s="272">
        <f t="shared" si="1"/>
        <v>403649.17000000004</v>
      </c>
      <c r="H19" s="334">
        <v>210568.83</v>
      </c>
      <c r="I19" s="176">
        <f t="shared" si="0"/>
        <v>0</v>
      </c>
      <c r="J19" s="176">
        <v>210568.83</v>
      </c>
      <c r="K19" s="174"/>
      <c r="L19" s="174"/>
      <c r="M19" s="174"/>
      <c r="N19" s="174"/>
      <c r="O19" s="250"/>
      <c r="P19" s="261"/>
      <c r="Q19" s="100"/>
      <c r="R19" s="240"/>
      <c r="S19" s="250"/>
      <c r="T19" s="253"/>
      <c r="U19" s="170" t="s">
        <v>77</v>
      </c>
      <c r="V19" s="138"/>
      <c r="W19" s="176"/>
      <c r="X19" s="176"/>
      <c r="Y19" s="176"/>
    </row>
    <row r="20" spans="1:25" ht="25.5" customHeight="1">
      <c r="A20" s="77" t="s">
        <v>121</v>
      </c>
      <c r="B20" s="64" t="s">
        <v>84</v>
      </c>
      <c r="C20" s="84">
        <v>2011</v>
      </c>
      <c r="D20" s="224">
        <f>F20</f>
        <v>500000</v>
      </c>
      <c r="E20" s="124"/>
      <c r="F20" s="100">
        <v>500000</v>
      </c>
      <c r="G20" s="272">
        <f t="shared" si="1"/>
        <v>2217.5999999999767</v>
      </c>
      <c r="H20" s="334">
        <v>497782.4</v>
      </c>
      <c r="I20" s="176">
        <f t="shared" si="0"/>
        <v>0</v>
      </c>
      <c r="J20" s="176">
        <v>497782.4</v>
      </c>
      <c r="K20" s="174"/>
      <c r="L20" s="174"/>
      <c r="M20" s="174"/>
      <c r="N20" s="174"/>
      <c r="O20" s="250"/>
      <c r="P20" s="261"/>
      <c r="Q20" s="100"/>
      <c r="R20" s="240"/>
      <c r="S20" s="250"/>
      <c r="T20" s="253"/>
      <c r="U20" s="170" t="s">
        <v>77</v>
      </c>
      <c r="V20" s="138"/>
      <c r="W20" s="176"/>
      <c r="X20" s="176"/>
      <c r="Y20" s="176"/>
    </row>
    <row r="21" spans="1:25" ht="25.5" customHeight="1">
      <c r="A21" s="77" t="s">
        <v>122</v>
      </c>
      <c r="B21" s="64" t="s">
        <v>85</v>
      </c>
      <c r="C21" s="84">
        <v>2011</v>
      </c>
      <c r="D21" s="224"/>
      <c r="E21" s="305">
        <f>F21</f>
        <v>900000</v>
      </c>
      <c r="F21" s="100">
        <f>1000000-100000</f>
        <v>900000</v>
      </c>
      <c r="G21" s="272">
        <f t="shared" si="1"/>
        <v>355332.26</v>
      </c>
      <c r="H21" s="334">
        <v>544667.74</v>
      </c>
      <c r="I21" s="176">
        <f t="shared" si="0"/>
        <v>0</v>
      </c>
      <c r="J21" s="176">
        <v>544667.74</v>
      </c>
      <c r="K21" s="174"/>
      <c r="L21" s="174"/>
      <c r="M21" s="174"/>
      <c r="N21" s="174"/>
      <c r="O21" s="250"/>
      <c r="P21" s="261"/>
      <c r="Q21" s="100"/>
      <c r="R21" s="240"/>
      <c r="S21" s="250"/>
      <c r="T21" s="253"/>
      <c r="U21" s="170" t="s">
        <v>77</v>
      </c>
      <c r="V21" s="138"/>
      <c r="W21" s="176"/>
      <c r="X21" s="176"/>
      <c r="Y21" s="176"/>
    </row>
    <row r="22" spans="1:25" ht="25.5" customHeight="1">
      <c r="A22" s="77" t="s">
        <v>123</v>
      </c>
      <c r="B22" s="64" t="s">
        <v>86</v>
      </c>
      <c r="C22" s="84">
        <v>2011</v>
      </c>
      <c r="D22" s="224">
        <f>F22</f>
        <v>624987</v>
      </c>
      <c r="E22" s="124"/>
      <c r="F22" s="100">
        <f>440000+184987</f>
        <v>624987</v>
      </c>
      <c r="G22" s="272">
        <f t="shared" si="1"/>
        <v>5757.310000000056</v>
      </c>
      <c r="H22" s="334">
        <v>619229.69</v>
      </c>
      <c r="I22" s="176">
        <f t="shared" si="0"/>
        <v>0</v>
      </c>
      <c r="J22" s="176">
        <v>619229.69</v>
      </c>
      <c r="K22" s="174"/>
      <c r="L22" s="174"/>
      <c r="M22" s="174"/>
      <c r="N22" s="174"/>
      <c r="O22" s="250"/>
      <c r="P22" s="261"/>
      <c r="Q22" s="100"/>
      <c r="R22" s="240"/>
      <c r="S22" s="250"/>
      <c r="T22" s="253"/>
      <c r="U22" s="170" t="s">
        <v>77</v>
      </c>
      <c r="V22" s="138"/>
      <c r="W22" s="176"/>
      <c r="X22" s="176"/>
      <c r="Y22" s="176"/>
    </row>
    <row r="23" spans="1:25" ht="89.25">
      <c r="A23" s="77" t="s">
        <v>124</v>
      </c>
      <c r="B23" s="64" t="s">
        <v>156</v>
      </c>
      <c r="C23" s="124">
        <v>2011</v>
      </c>
      <c r="D23" s="84"/>
      <c r="E23" s="307">
        <f>F23</f>
        <v>242600</v>
      </c>
      <c r="F23" s="313">
        <f>166500+67400+8700</f>
        <v>242600</v>
      </c>
      <c r="G23" s="272">
        <f t="shared" si="1"/>
        <v>62679.72</v>
      </c>
      <c r="H23" s="334">
        <v>179920.28</v>
      </c>
      <c r="I23" s="176">
        <f t="shared" si="0"/>
        <v>0</v>
      </c>
      <c r="J23" s="176">
        <v>179920.28</v>
      </c>
      <c r="K23" s="174"/>
      <c r="L23" s="174"/>
      <c r="M23" s="174"/>
      <c r="N23" s="174"/>
      <c r="O23" s="250"/>
      <c r="P23" s="261"/>
      <c r="Q23" s="100"/>
      <c r="R23" s="240"/>
      <c r="S23" s="250"/>
      <c r="T23" s="253"/>
      <c r="U23" s="170" t="s">
        <v>77</v>
      </c>
      <c r="V23" s="138"/>
      <c r="W23" s="176"/>
      <c r="X23" s="176"/>
      <c r="Y23" s="176"/>
    </row>
    <row r="24" spans="1:25" ht="24" customHeight="1">
      <c r="A24" s="122"/>
      <c r="B24" s="70"/>
      <c r="C24" s="230"/>
      <c r="D24" s="237"/>
      <c r="E24" s="230"/>
      <c r="F24" s="314">
        <f>SUM(F14:F23)</f>
        <v>10659497</v>
      </c>
      <c r="G24" s="273">
        <f>SUM(G14:G23)</f>
        <v>4343398.2299999995</v>
      </c>
      <c r="H24" s="335">
        <f>SUM(H14:H23)</f>
        <v>6316098.770000002</v>
      </c>
      <c r="I24" s="177">
        <f>SUM(I14:I23)</f>
        <v>0</v>
      </c>
      <c r="J24" s="101">
        <f>SUM(J14:J23)</f>
        <v>6316098.770000002</v>
      </c>
      <c r="K24" s="174"/>
      <c r="L24" s="174"/>
      <c r="M24" s="174"/>
      <c r="N24" s="174"/>
      <c r="O24" s="250"/>
      <c r="P24" s="277">
        <f>SUM(P14:P16)</f>
        <v>36555</v>
      </c>
      <c r="Q24" s="101">
        <f>SUM(Q14:Q16)</f>
        <v>0</v>
      </c>
      <c r="R24" s="241">
        <f>SUM(R14:R16)</f>
        <v>36555</v>
      </c>
      <c r="S24" s="293"/>
      <c r="T24" s="252"/>
      <c r="U24" s="170"/>
      <c r="V24" s="138"/>
      <c r="W24" s="101">
        <f>SUM(W14:W16)</f>
        <v>0</v>
      </c>
      <c r="X24" s="101">
        <f>SUM(X14:X16)</f>
        <v>0</v>
      </c>
      <c r="Y24" s="101">
        <f>SUM(Y14:Y16)</f>
        <v>36555</v>
      </c>
    </row>
    <row r="25" spans="1:25" ht="24" customHeight="1">
      <c r="A25" s="122"/>
      <c r="B25" s="70"/>
      <c r="C25" s="230"/>
      <c r="D25" s="303"/>
      <c r="E25" s="230"/>
      <c r="F25" s="309"/>
      <c r="G25" s="273"/>
      <c r="H25" s="335"/>
      <c r="I25" s="177"/>
      <c r="J25" s="101"/>
      <c r="K25" s="174"/>
      <c r="L25" s="174"/>
      <c r="M25" s="174"/>
      <c r="N25" s="174"/>
      <c r="O25" s="250"/>
      <c r="P25" s="277"/>
      <c r="Q25" s="101"/>
      <c r="R25" s="241"/>
      <c r="S25" s="293"/>
      <c r="T25" s="252"/>
      <c r="U25" s="170"/>
      <c r="V25" s="138"/>
      <c r="W25" s="101"/>
      <c r="X25" s="101"/>
      <c r="Y25" s="101"/>
    </row>
    <row r="26" spans="1:25" ht="24" customHeight="1">
      <c r="A26" s="54">
        <v>3</v>
      </c>
      <c r="B26" s="61" t="s">
        <v>90</v>
      </c>
      <c r="C26" s="74"/>
      <c r="D26" s="74"/>
      <c r="E26" s="227"/>
      <c r="F26" s="106"/>
      <c r="G26" s="273"/>
      <c r="H26" s="335"/>
      <c r="I26" s="177"/>
      <c r="J26" s="101"/>
      <c r="K26" s="174"/>
      <c r="L26" s="174"/>
      <c r="M26" s="174"/>
      <c r="N26" s="174"/>
      <c r="O26" s="250"/>
      <c r="P26" s="277"/>
      <c r="Q26" s="101"/>
      <c r="R26" s="241"/>
      <c r="S26" s="293"/>
      <c r="T26" s="252"/>
      <c r="U26" s="170"/>
      <c r="V26" s="138"/>
      <c r="W26" s="101"/>
      <c r="X26" s="101"/>
      <c r="Y26" s="101"/>
    </row>
    <row r="27" spans="1:25" ht="38.25">
      <c r="A27" s="77" t="s">
        <v>107</v>
      </c>
      <c r="B27" s="68" t="s">
        <v>89</v>
      </c>
      <c r="C27" s="84">
        <v>2011</v>
      </c>
      <c r="D27" s="224">
        <f>F27</f>
        <v>100000</v>
      </c>
      <c r="E27" s="124"/>
      <c r="F27" s="100">
        <v>100000</v>
      </c>
      <c r="G27" s="272">
        <f>F27-H27</f>
        <v>0</v>
      </c>
      <c r="H27" s="334">
        <v>100000</v>
      </c>
      <c r="I27" s="176">
        <f>+H27-J27</f>
        <v>0</v>
      </c>
      <c r="J27" s="101">
        <v>100000</v>
      </c>
      <c r="K27" s="174"/>
      <c r="L27" s="174"/>
      <c r="M27" s="174"/>
      <c r="N27" s="174"/>
      <c r="O27" s="250"/>
      <c r="P27" s="277"/>
      <c r="Q27" s="101"/>
      <c r="R27" s="241"/>
      <c r="S27" s="293"/>
      <c r="T27" s="252"/>
      <c r="U27" s="170" t="s">
        <v>63</v>
      </c>
      <c r="V27" s="138"/>
      <c r="W27" s="101"/>
      <c r="X27" s="101"/>
      <c r="Y27" s="101"/>
    </row>
    <row r="28" spans="1:25" ht="24" customHeight="1">
      <c r="A28" s="53"/>
      <c r="B28" s="52"/>
      <c r="C28" s="74"/>
      <c r="D28" s="74"/>
      <c r="E28" s="227"/>
      <c r="F28" s="101">
        <f>SUM(F27)</f>
        <v>100000</v>
      </c>
      <c r="G28" s="273">
        <f>SUM(G27)</f>
        <v>0</v>
      </c>
      <c r="H28" s="335">
        <f>SUM(H27)</f>
        <v>100000</v>
      </c>
      <c r="I28" s="177">
        <f>SUM(I27)</f>
        <v>0</v>
      </c>
      <c r="J28" s="101">
        <f>SUM(J27)</f>
        <v>100000</v>
      </c>
      <c r="K28" s="174"/>
      <c r="L28" s="174"/>
      <c r="M28" s="174"/>
      <c r="N28" s="174"/>
      <c r="O28" s="250"/>
      <c r="P28" s="277"/>
      <c r="Q28" s="101"/>
      <c r="R28" s="241"/>
      <c r="S28" s="293"/>
      <c r="T28" s="252"/>
      <c r="U28" s="170"/>
      <c r="V28" s="138"/>
      <c r="W28" s="101"/>
      <c r="X28" s="101"/>
      <c r="Y28" s="101"/>
    </row>
    <row r="29" spans="1:25" ht="16.5" customHeight="1">
      <c r="A29" s="122"/>
      <c r="B29" s="70"/>
      <c r="C29" s="230"/>
      <c r="D29" s="237"/>
      <c r="E29" s="230"/>
      <c r="F29" s="311"/>
      <c r="G29" s="270"/>
      <c r="H29" s="332"/>
      <c r="I29" s="168"/>
      <c r="J29" s="169"/>
      <c r="K29" s="98"/>
      <c r="L29" s="98"/>
      <c r="M29" s="98"/>
      <c r="N29" s="98"/>
      <c r="O29" s="249"/>
      <c r="P29" s="260"/>
      <c r="Q29" s="100"/>
      <c r="R29" s="240"/>
      <c r="S29" s="250"/>
      <c r="T29" s="252"/>
      <c r="U29" s="170"/>
      <c r="V29" s="138"/>
      <c r="W29" s="169"/>
      <c r="X29" s="169"/>
      <c r="Y29" s="169"/>
    </row>
    <row r="30" spans="1:25" ht="19.5" customHeight="1">
      <c r="A30" s="184">
        <v>4</v>
      </c>
      <c r="B30" s="178" t="s">
        <v>8</v>
      </c>
      <c r="C30" s="230"/>
      <c r="D30" s="237"/>
      <c r="E30" s="230"/>
      <c r="F30" s="311"/>
      <c r="G30" s="270"/>
      <c r="H30" s="332"/>
      <c r="I30" s="168"/>
      <c r="J30" s="169"/>
      <c r="K30" s="98"/>
      <c r="L30" s="98"/>
      <c r="M30" s="98"/>
      <c r="N30" s="98"/>
      <c r="O30" s="249"/>
      <c r="P30" s="260"/>
      <c r="Q30" s="100"/>
      <c r="R30" s="240"/>
      <c r="S30" s="250"/>
      <c r="T30" s="252"/>
      <c r="U30" s="170"/>
      <c r="V30" s="138"/>
      <c r="W30" s="169"/>
      <c r="X30" s="169"/>
      <c r="Y30" s="169"/>
    </row>
    <row r="31" spans="1:25" ht="25.5">
      <c r="A31" s="122" t="s">
        <v>100</v>
      </c>
      <c r="B31" s="138" t="s">
        <v>73</v>
      </c>
      <c r="C31" s="231">
        <v>2008</v>
      </c>
      <c r="D31" s="244">
        <f>H31</f>
        <v>399255.63</v>
      </c>
      <c r="E31" s="231"/>
      <c r="F31" s="312">
        <v>3000000</v>
      </c>
      <c r="G31" s="272">
        <f>F31-H31</f>
        <v>2600744.37</v>
      </c>
      <c r="H31" s="334">
        <v>399255.63</v>
      </c>
      <c r="I31" s="176">
        <f>+H31-J31</f>
        <v>0</v>
      </c>
      <c r="J31" s="176">
        <v>399255.63</v>
      </c>
      <c r="K31" s="174"/>
      <c r="L31" s="174"/>
      <c r="M31" s="174"/>
      <c r="N31" s="174"/>
      <c r="O31" s="250"/>
      <c r="P31" s="261">
        <f>H31+M31</f>
        <v>399255.63</v>
      </c>
      <c r="Q31" s="176">
        <f>P31</f>
        <v>399255.63</v>
      </c>
      <c r="R31" s="262"/>
      <c r="S31" s="250"/>
      <c r="T31" s="254"/>
      <c r="U31" s="223" t="s">
        <v>79</v>
      </c>
      <c r="V31" s="138" t="s">
        <v>186</v>
      </c>
      <c r="W31" s="176">
        <v>0</v>
      </c>
      <c r="X31" s="176">
        <v>399255.63</v>
      </c>
      <c r="Y31" s="176">
        <f>H31-X31</f>
        <v>0</v>
      </c>
    </row>
    <row r="32" spans="1:25" ht="35.25" customHeight="1">
      <c r="A32" s="75" t="s">
        <v>101</v>
      </c>
      <c r="B32" s="71" t="s">
        <v>23</v>
      </c>
      <c r="C32" s="280" t="s">
        <v>72</v>
      </c>
      <c r="D32" s="244">
        <f>H32</f>
        <v>79867.08</v>
      </c>
      <c r="E32" s="124"/>
      <c r="F32" s="312">
        <f>750000+18350+35000</f>
        <v>803350</v>
      </c>
      <c r="G32" s="272">
        <f>F32-H32</f>
        <v>723482.92</v>
      </c>
      <c r="H32" s="334">
        <f>79867.08</f>
        <v>79867.08</v>
      </c>
      <c r="I32" s="176">
        <f>+H32-J32</f>
        <v>0</v>
      </c>
      <c r="J32" s="176">
        <v>79867.08</v>
      </c>
      <c r="K32" s="174"/>
      <c r="L32" s="174"/>
      <c r="M32" s="174"/>
      <c r="N32" s="174"/>
      <c r="O32" s="250"/>
      <c r="P32" s="261">
        <f>H32+M32</f>
        <v>79867.08</v>
      </c>
      <c r="Q32" s="176">
        <f>P32</f>
        <v>79867.08</v>
      </c>
      <c r="R32" s="262"/>
      <c r="S32" s="250"/>
      <c r="T32" s="254">
        <v>40611</v>
      </c>
      <c r="U32" s="223" t="s">
        <v>79</v>
      </c>
      <c r="V32" s="138" t="s">
        <v>187</v>
      </c>
      <c r="W32" s="176">
        <v>0</v>
      </c>
      <c r="X32" s="176">
        <v>0</v>
      </c>
      <c r="Y32" s="176">
        <f>H32-X32</f>
        <v>79867.08</v>
      </c>
    </row>
    <row r="33" spans="1:25" ht="38.25">
      <c r="A33" s="75" t="s">
        <v>102</v>
      </c>
      <c r="B33" s="71" t="s">
        <v>67</v>
      </c>
      <c r="C33" s="124">
        <v>2010</v>
      </c>
      <c r="D33" s="244">
        <f>H33</f>
        <v>520000</v>
      </c>
      <c r="E33" s="124"/>
      <c r="F33" s="312">
        <v>800000</v>
      </c>
      <c r="G33" s="272">
        <f>F33-H33</f>
        <v>280000</v>
      </c>
      <c r="H33" s="334">
        <v>520000</v>
      </c>
      <c r="I33" s="176">
        <f>+H33-J33</f>
        <v>0</v>
      </c>
      <c r="J33" s="176">
        <f>720000-200000</f>
        <v>520000</v>
      </c>
      <c r="K33" s="174"/>
      <c r="L33" s="174"/>
      <c r="M33" s="174"/>
      <c r="N33" s="174"/>
      <c r="O33" s="250"/>
      <c r="P33" s="261">
        <f>H33+M33</f>
        <v>520000</v>
      </c>
      <c r="Q33" s="176">
        <f>P33</f>
        <v>520000</v>
      </c>
      <c r="R33" s="262"/>
      <c r="S33" s="250"/>
      <c r="T33" s="254">
        <v>40627</v>
      </c>
      <c r="U33" s="180" t="s">
        <v>79</v>
      </c>
      <c r="V33" s="138" t="s">
        <v>188</v>
      </c>
      <c r="W33" s="176">
        <v>0</v>
      </c>
      <c r="X33" s="176">
        <v>0</v>
      </c>
      <c r="Y33" s="176">
        <f>H33-X33</f>
        <v>520000</v>
      </c>
    </row>
    <row r="34" spans="1:25" ht="20.25" customHeight="1">
      <c r="A34" s="122"/>
      <c r="B34" s="70"/>
      <c r="C34" s="230"/>
      <c r="D34" s="237"/>
      <c r="E34" s="230"/>
      <c r="F34" s="309">
        <f>SUM(F31:F33)</f>
        <v>4603350</v>
      </c>
      <c r="G34" s="273">
        <f>SUM(G31:G33)</f>
        <v>3604227.29</v>
      </c>
      <c r="H34" s="335">
        <f>SUM(H31:H33)</f>
        <v>999122.71</v>
      </c>
      <c r="I34" s="177">
        <f>SUM(I31:I33)</f>
        <v>0</v>
      </c>
      <c r="J34" s="177">
        <f>SUM(J31:J33)</f>
        <v>999122.71</v>
      </c>
      <c r="K34" s="174"/>
      <c r="L34" s="174"/>
      <c r="M34" s="174"/>
      <c r="N34" s="174"/>
      <c r="O34" s="250"/>
      <c r="P34" s="277">
        <f>SUM(P31:P33)</f>
        <v>999122.71</v>
      </c>
      <c r="Q34" s="177">
        <f>SUM(Q31:Q33)</f>
        <v>999122.71</v>
      </c>
      <c r="R34" s="278">
        <f>SUM(R31:R33)</f>
        <v>0</v>
      </c>
      <c r="S34" s="293"/>
      <c r="T34" s="252"/>
      <c r="U34" s="170"/>
      <c r="V34" s="175"/>
      <c r="W34" s="177">
        <f>SUM(W31:W33)</f>
        <v>0</v>
      </c>
      <c r="X34" s="177">
        <f>SUM(X31:X33)</f>
        <v>399255.63</v>
      </c>
      <c r="Y34" s="177">
        <f>SUM(Y31:Y33)</f>
        <v>599867.08</v>
      </c>
    </row>
    <row r="35" spans="1:25" ht="19.5" customHeight="1">
      <c r="A35" s="122"/>
      <c r="B35" s="70"/>
      <c r="C35" s="230"/>
      <c r="D35" s="237"/>
      <c r="E35" s="230"/>
      <c r="F35" s="315"/>
      <c r="G35" s="274"/>
      <c r="H35" s="336"/>
      <c r="I35" s="173"/>
      <c r="J35" s="173"/>
      <c r="K35" s="174"/>
      <c r="L35" s="174"/>
      <c r="M35" s="174"/>
      <c r="N35" s="174"/>
      <c r="O35" s="250"/>
      <c r="P35" s="260"/>
      <c r="Q35" s="176"/>
      <c r="R35" s="262"/>
      <c r="S35" s="250"/>
      <c r="T35" s="252"/>
      <c r="U35" s="170"/>
      <c r="V35" s="175"/>
      <c r="W35" s="173"/>
      <c r="X35" s="173"/>
      <c r="Y35" s="173"/>
    </row>
    <row r="36" spans="1:25" ht="15.75" customHeight="1">
      <c r="A36" s="304">
        <v>5</v>
      </c>
      <c r="B36" s="172" t="s">
        <v>133</v>
      </c>
      <c r="C36" s="231"/>
      <c r="D36" s="238"/>
      <c r="E36" s="231"/>
      <c r="F36" s="315"/>
      <c r="G36" s="271"/>
      <c r="H36" s="333"/>
      <c r="I36" s="173"/>
      <c r="J36" s="173"/>
      <c r="K36" s="174"/>
      <c r="L36" s="174"/>
      <c r="M36" s="174"/>
      <c r="N36" s="174"/>
      <c r="O36" s="250"/>
      <c r="P36" s="260"/>
      <c r="Q36" s="176"/>
      <c r="R36" s="262"/>
      <c r="S36" s="250"/>
      <c r="T36" s="252"/>
      <c r="U36" s="170"/>
      <c r="V36" s="175"/>
      <c r="W36" s="173"/>
      <c r="X36" s="173"/>
      <c r="Y36" s="173"/>
    </row>
    <row r="37" spans="1:25" ht="26.25" customHeight="1">
      <c r="A37" s="75" t="s">
        <v>135</v>
      </c>
      <c r="B37" s="71" t="s">
        <v>132</v>
      </c>
      <c r="C37" s="233" t="s">
        <v>223</v>
      </c>
      <c r="D37" s="244">
        <f>H37</f>
        <v>2395734.35</v>
      </c>
      <c r="E37" s="232"/>
      <c r="F37" s="312">
        <f>2100000+377956-247795+459920</f>
        <v>2690081</v>
      </c>
      <c r="G37" s="272">
        <f>F37-H37</f>
        <v>294346.6499999999</v>
      </c>
      <c r="H37" s="334">
        <f>1935814.35+459920</f>
        <v>2395734.35</v>
      </c>
      <c r="I37" s="176">
        <f>+H37-J37</f>
        <v>0</v>
      </c>
      <c r="J37" s="176">
        <v>2395734.35</v>
      </c>
      <c r="K37" s="174"/>
      <c r="L37" s="174"/>
      <c r="M37" s="174">
        <v>377956</v>
      </c>
      <c r="N37" s="174"/>
      <c r="O37" s="250"/>
      <c r="P37" s="261">
        <f>H37+M37</f>
        <v>2773690.35</v>
      </c>
      <c r="Q37" s="176">
        <f>P37</f>
        <v>2773690.35</v>
      </c>
      <c r="R37" s="262"/>
      <c r="S37" s="250">
        <v>247795</v>
      </c>
      <c r="T37" s="255">
        <v>40625</v>
      </c>
      <c r="U37" s="170" t="s">
        <v>78</v>
      </c>
      <c r="V37" s="138" t="s">
        <v>158</v>
      </c>
      <c r="W37" s="176">
        <v>0</v>
      </c>
      <c r="X37" s="176">
        <v>1100000</v>
      </c>
      <c r="Y37" s="176">
        <f>H37-X37</f>
        <v>1295734.35</v>
      </c>
    </row>
    <row r="38" spans="1:25" ht="26.25" customHeight="1">
      <c r="A38" s="75" t="s">
        <v>125</v>
      </c>
      <c r="B38" s="71" t="s">
        <v>131</v>
      </c>
      <c r="C38" s="209">
        <v>2011</v>
      </c>
      <c r="D38" s="224">
        <f>F38</f>
        <v>2740093</v>
      </c>
      <c r="E38" s="209"/>
      <c r="F38" s="100">
        <f>2375000+688978-323885</f>
        <v>2740093</v>
      </c>
      <c r="G38" s="272">
        <f>F38-H38</f>
        <v>920455.8999999999</v>
      </c>
      <c r="H38" s="334">
        <v>1819637.1</v>
      </c>
      <c r="I38" s="176">
        <f>+H38-J38</f>
        <v>0</v>
      </c>
      <c r="J38" s="176">
        <v>1819637.1</v>
      </c>
      <c r="K38" s="174"/>
      <c r="L38" s="174"/>
      <c r="M38" s="174"/>
      <c r="N38" s="174"/>
      <c r="O38" s="250"/>
      <c r="P38" s="261"/>
      <c r="Q38" s="176"/>
      <c r="R38" s="262"/>
      <c r="S38" s="250"/>
      <c r="T38" s="255"/>
      <c r="U38" s="170" t="s">
        <v>78</v>
      </c>
      <c r="V38" s="138"/>
      <c r="W38" s="176"/>
      <c r="X38" s="176"/>
      <c r="Y38" s="176"/>
    </row>
    <row r="39" spans="1:25" ht="26.25" customHeight="1">
      <c r="A39" s="295" t="s">
        <v>216</v>
      </c>
      <c r="B39" s="296" t="s">
        <v>217</v>
      </c>
      <c r="C39" s="233" t="s">
        <v>223</v>
      </c>
      <c r="D39" s="244"/>
      <c r="E39" s="232"/>
      <c r="F39" s="312">
        <f>247795+2900117</f>
        <v>3147912</v>
      </c>
      <c r="G39" s="272">
        <f>F39-H39</f>
        <v>448277.6200000001</v>
      </c>
      <c r="H39" s="334">
        <v>2699634.38</v>
      </c>
      <c r="I39" s="176">
        <f>+H39-J39</f>
        <v>0</v>
      </c>
      <c r="J39" s="176">
        <v>2699634.38</v>
      </c>
      <c r="K39" s="174"/>
      <c r="L39" s="174"/>
      <c r="M39" s="174"/>
      <c r="N39" s="174"/>
      <c r="O39" s="250"/>
      <c r="P39" s="261"/>
      <c r="Q39" s="176"/>
      <c r="R39" s="262"/>
      <c r="S39" s="250"/>
      <c r="T39" s="255"/>
      <c r="U39" s="170" t="s">
        <v>78</v>
      </c>
      <c r="V39" s="138"/>
      <c r="W39" s="176"/>
      <c r="X39" s="176"/>
      <c r="Y39" s="176"/>
    </row>
    <row r="40" spans="1:25" ht="18" customHeight="1">
      <c r="A40" s="122"/>
      <c r="B40" s="70"/>
      <c r="C40" s="230"/>
      <c r="D40" s="237"/>
      <c r="E40" s="230"/>
      <c r="F40" s="309">
        <f>SUM(F37:F39)</f>
        <v>8578086</v>
      </c>
      <c r="G40" s="273">
        <f>SUM(G37:G39)</f>
        <v>1663080.17</v>
      </c>
      <c r="H40" s="335">
        <f>SUM(H37:H39)</f>
        <v>6915005.83</v>
      </c>
      <c r="I40" s="177">
        <f>SUM(I37:I39)</f>
        <v>0</v>
      </c>
      <c r="J40" s="101">
        <f>SUM(J37:J39)</f>
        <v>6915005.83</v>
      </c>
      <c r="K40" s="174"/>
      <c r="L40" s="174"/>
      <c r="M40" s="174"/>
      <c r="N40" s="174"/>
      <c r="O40" s="250"/>
      <c r="P40" s="277">
        <f>SUM(P37:P37)</f>
        <v>2773690.35</v>
      </c>
      <c r="Q40" s="101">
        <f>SUM(Q37:Q37)</f>
        <v>2773690.35</v>
      </c>
      <c r="R40" s="241">
        <f>SUM(R37:R37)</f>
        <v>0</v>
      </c>
      <c r="S40" s="293"/>
      <c r="T40" s="252"/>
      <c r="U40" s="170"/>
      <c r="V40" s="138"/>
      <c r="W40" s="101">
        <f>SUM(W37:W37)</f>
        <v>0</v>
      </c>
      <c r="X40" s="101">
        <f>SUM(X37:X37)</f>
        <v>1100000</v>
      </c>
      <c r="Y40" s="101">
        <f>SUM(Y37:Y37)</f>
        <v>1295734.35</v>
      </c>
    </row>
    <row r="41" spans="1:25" ht="12.75">
      <c r="A41" s="122"/>
      <c r="B41" s="70"/>
      <c r="C41" s="230"/>
      <c r="D41" s="237"/>
      <c r="E41" s="230"/>
      <c r="F41" s="315"/>
      <c r="G41" s="274"/>
      <c r="H41" s="336"/>
      <c r="I41" s="173"/>
      <c r="J41" s="173"/>
      <c r="K41" s="174"/>
      <c r="L41" s="174"/>
      <c r="M41" s="174"/>
      <c r="N41" s="174"/>
      <c r="O41" s="250"/>
      <c r="P41" s="260"/>
      <c r="Q41" s="176"/>
      <c r="R41" s="262"/>
      <c r="S41" s="250"/>
      <c r="T41" s="252"/>
      <c r="U41" s="170"/>
      <c r="V41" s="175"/>
      <c r="W41" s="173"/>
      <c r="X41" s="173"/>
      <c r="Y41" s="173"/>
    </row>
    <row r="42" spans="1:25" ht="12.75">
      <c r="A42" s="304">
        <v>6</v>
      </c>
      <c r="B42" s="172" t="s">
        <v>13</v>
      </c>
      <c r="C42" s="231"/>
      <c r="D42" s="238"/>
      <c r="E42" s="231"/>
      <c r="F42" s="316"/>
      <c r="G42" s="275"/>
      <c r="H42" s="337"/>
      <c r="I42" s="173"/>
      <c r="J42" s="173"/>
      <c r="K42" s="174"/>
      <c r="L42" s="174"/>
      <c r="M42" s="174"/>
      <c r="N42" s="174"/>
      <c r="O42" s="250"/>
      <c r="P42" s="260"/>
      <c r="Q42" s="176"/>
      <c r="R42" s="262"/>
      <c r="S42" s="250"/>
      <c r="T42" s="252"/>
      <c r="U42" s="170"/>
      <c r="V42" s="175"/>
      <c r="W42" s="173"/>
      <c r="X42" s="173"/>
      <c r="Y42" s="173"/>
    </row>
    <row r="43" spans="1:25" ht="12.75">
      <c r="A43" s="122" t="s">
        <v>104</v>
      </c>
      <c r="B43" s="69" t="s">
        <v>95</v>
      </c>
      <c r="C43" s="84">
        <v>2011</v>
      </c>
      <c r="D43" s="84"/>
      <c r="E43" s="224">
        <f>F43</f>
        <v>574090</v>
      </c>
      <c r="F43" s="100">
        <f>500000+100000-25910</f>
        <v>574090</v>
      </c>
      <c r="G43" s="251">
        <f>F43-H43</f>
        <v>545819.53</v>
      </c>
      <c r="H43" s="334">
        <v>28270.47</v>
      </c>
      <c r="I43" s="176">
        <f>+H43-J43</f>
        <v>0</v>
      </c>
      <c r="J43" s="176">
        <v>28270.47</v>
      </c>
      <c r="K43" s="98"/>
      <c r="L43" s="98"/>
      <c r="M43" s="98"/>
      <c r="N43" s="98"/>
      <c r="O43" s="249"/>
      <c r="P43" s="261"/>
      <c r="Q43" s="100"/>
      <c r="R43" s="240"/>
      <c r="S43" s="250"/>
      <c r="T43" s="253"/>
      <c r="U43" s="170" t="s">
        <v>63</v>
      </c>
      <c r="V43" s="131"/>
      <c r="W43" s="176"/>
      <c r="X43" s="176"/>
      <c r="Y43" s="176"/>
    </row>
    <row r="44" spans="1:25" ht="25.5">
      <c r="A44" s="122" t="s">
        <v>108</v>
      </c>
      <c r="B44" s="69" t="s">
        <v>96</v>
      </c>
      <c r="C44" s="84">
        <v>2011</v>
      </c>
      <c r="D44" s="224">
        <f>F44</f>
        <v>938385</v>
      </c>
      <c r="E44" s="84"/>
      <c r="F44" s="100">
        <f>1000000-61615</f>
        <v>938385</v>
      </c>
      <c r="G44" s="272">
        <f>F44-H44</f>
        <v>861679.7</v>
      </c>
      <c r="H44" s="334">
        <v>76705.3</v>
      </c>
      <c r="I44" s="176">
        <f>+H44-J44</f>
        <v>0</v>
      </c>
      <c r="J44" s="176">
        <v>76705.3</v>
      </c>
      <c r="K44" s="174"/>
      <c r="L44" s="174"/>
      <c r="M44" s="174"/>
      <c r="N44" s="174"/>
      <c r="O44" s="250"/>
      <c r="P44" s="261"/>
      <c r="Q44" s="176"/>
      <c r="R44" s="240"/>
      <c r="S44" s="250"/>
      <c r="T44" s="283"/>
      <c r="U44" s="170" t="s">
        <v>77</v>
      </c>
      <c r="V44" s="138"/>
      <c r="W44" s="176"/>
      <c r="X44" s="220"/>
      <c r="Y44" s="176"/>
    </row>
    <row r="45" spans="1:25" ht="39" customHeight="1">
      <c r="A45" s="179" t="s">
        <v>105</v>
      </c>
      <c r="B45" s="64" t="s">
        <v>24</v>
      </c>
      <c r="C45" s="280" t="s">
        <v>223</v>
      </c>
      <c r="D45" s="245"/>
      <c r="E45" s="305">
        <f>H45</f>
        <v>6273639.4</v>
      </c>
      <c r="F45" s="312">
        <f>200000+6086945</f>
        <v>6286945</v>
      </c>
      <c r="G45" s="272">
        <f>F45-H45</f>
        <v>13305.599999999627</v>
      </c>
      <c r="H45" s="334">
        <f>186694.4+6086945</f>
        <v>6273639.4</v>
      </c>
      <c r="I45" s="176">
        <f>+H45-J45</f>
        <v>0</v>
      </c>
      <c r="J45" s="176">
        <f>186694.4+6086945</f>
        <v>6273639.4</v>
      </c>
      <c r="K45" s="174"/>
      <c r="L45" s="174"/>
      <c r="M45" s="174"/>
      <c r="N45" s="174"/>
      <c r="O45" s="250"/>
      <c r="P45" s="261">
        <f>H45+M45</f>
        <v>6273639.4</v>
      </c>
      <c r="Q45" s="176"/>
      <c r="R45" s="240">
        <f>P45</f>
        <v>6273639.4</v>
      </c>
      <c r="S45" s="250"/>
      <c r="T45" s="253">
        <v>40394</v>
      </c>
      <c r="U45" s="170" t="s">
        <v>63</v>
      </c>
      <c r="V45" s="138" t="s">
        <v>194</v>
      </c>
      <c r="W45" s="176">
        <v>0</v>
      </c>
      <c r="X45" s="176">
        <v>186694.4</v>
      </c>
      <c r="Y45" s="176">
        <f>H45-X45</f>
        <v>6086945</v>
      </c>
    </row>
    <row r="46" spans="1:25" ht="12.75">
      <c r="A46" s="123" t="s">
        <v>126</v>
      </c>
      <c r="B46" s="80" t="s">
        <v>97</v>
      </c>
      <c r="C46" s="84">
        <v>2011</v>
      </c>
      <c r="D46" s="84"/>
      <c r="E46" s="224">
        <f>F46</f>
        <v>649806</v>
      </c>
      <c r="F46" s="100">
        <f>1000000-350194</f>
        <v>649806</v>
      </c>
      <c r="G46" s="272">
        <f>F46-H46</f>
        <v>589266.1</v>
      </c>
      <c r="H46" s="334">
        <v>60539.9</v>
      </c>
      <c r="I46" s="176">
        <f>+H46-J46</f>
        <v>0</v>
      </c>
      <c r="J46" s="176">
        <v>60539.9</v>
      </c>
      <c r="K46" s="174"/>
      <c r="L46" s="174"/>
      <c r="M46" s="174"/>
      <c r="N46" s="174"/>
      <c r="O46" s="250"/>
      <c r="P46" s="261"/>
      <c r="Q46" s="176"/>
      <c r="R46" s="262"/>
      <c r="S46" s="250"/>
      <c r="T46" s="254"/>
      <c r="U46" s="170" t="s">
        <v>63</v>
      </c>
      <c r="V46" s="138"/>
      <c r="W46" s="176"/>
      <c r="X46" s="220"/>
      <c r="Y46" s="176"/>
    </row>
    <row r="47" spans="1:25" ht="12.75">
      <c r="A47" s="123" t="s">
        <v>127</v>
      </c>
      <c r="B47" s="80" t="s">
        <v>98</v>
      </c>
      <c r="C47" s="84">
        <v>2011</v>
      </c>
      <c r="D47" s="224">
        <f>F47</f>
        <v>500000</v>
      </c>
      <c r="E47" s="84"/>
      <c r="F47" s="100">
        <v>500000</v>
      </c>
      <c r="G47" s="272">
        <f>F47-H47</f>
        <v>0</v>
      </c>
      <c r="H47" s="334">
        <v>500000</v>
      </c>
      <c r="I47" s="176">
        <f>+H47-J47</f>
        <v>0</v>
      </c>
      <c r="J47" s="176">
        <v>500000</v>
      </c>
      <c r="K47" s="174"/>
      <c r="L47" s="174"/>
      <c r="M47" s="174"/>
      <c r="N47" s="174"/>
      <c r="O47" s="250"/>
      <c r="P47" s="261"/>
      <c r="Q47" s="176"/>
      <c r="R47" s="262"/>
      <c r="S47" s="250"/>
      <c r="T47" s="254"/>
      <c r="U47" s="170" t="s">
        <v>109</v>
      </c>
      <c r="V47" s="138"/>
      <c r="W47" s="176"/>
      <c r="X47" s="220"/>
      <c r="Y47" s="176"/>
    </row>
    <row r="48" spans="1:25" ht="22.5" customHeight="1">
      <c r="A48" s="171"/>
      <c r="B48" s="181"/>
      <c r="C48" s="231"/>
      <c r="D48" s="238"/>
      <c r="E48" s="231"/>
      <c r="F48" s="309">
        <f>SUM(F43:F47)</f>
        <v>8949226</v>
      </c>
      <c r="G48" s="276">
        <f>SUM(G43:G47)</f>
        <v>2010070.9299999997</v>
      </c>
      <c r="H48" s="335">
        <f>SUM(H43:H47)</f>
        <v>6939155.07</v>
      </c>
      <c r="I48" s="177">
        <f>SUM(I43:I47)</f>
        <v>0</v>
      </c>
      <c r="J48" s="177">
        <f>SUM(J43:J47)</f>
        <v>6939155.07</v>
      </c>
      <c r="K48" s="174"/>
      <c r="L48" s="174"/>
      <c r="M48" s="174"/>
      <c r="N48" s="174"/>
      <c r="O48" s="250"/>
      <c r="P48" s="277">
        <f>SUM(P43:P45)</f>
        <v>6273639.4</v>
      </c>
      <c r="Q48" s="177">
        <f>SUM(Q43:Q45)</f>
        <v>0</v>
      </c>
      <c r="R48" s="278">
        <f>SUM(R43:R45)</f>
        <v>6273639.4</v>
      </c>
      <c r="S48" s="293"/>
      <c r="T48" s="256"/>
      <c r="U48" s="182"/>
      <c r="V48" s="138"/>
      <c r="W48" s="177">
        <f>SUM(W43:W45)</f>
        <v>0</v>
      </c>
      <c r="X48" s="177">
        <f>SUM(X43:X45)</f>
        <v>186694.4</v>
      </c>
      <c r="Y48" s="177">
        <f>SUM(Y43:Y45)</f>
        <v>6086945</v>
      </c>
    </row>
    <row r="49" spans="1:25" ht="12.75">
      <c r="A49" s="122"/>
      <c r="B49" s="70"/>
      <c r="C49" s="230"/>
      <c r="D49" s="237"/>
      <c r="E49" s="230"/>
      <c r="F49" s="315"/>
      <c r="G49" s="274"/>
      <c r="H49" s="336"/>
      <c r="I49" s="173"/>
      <c r="J49" s="173"/>
      <c r="K49" s="174"/>
      <c r="L49" s="174"/>
      <c r="M49" s="174"/>
      <c r="N49" s="174"/>
      <c r="O49" s="250"/>
      <c r="P49" s="260"/>
      <c r="Q49" s="176"/>
      <c r="R49" s="262"/>
      <c r="S49" s="250"/>
      <c r="T49" s="252"/>
      <c r="U49" s="170"/>
      <c r="V49" s="175"/>
      <c r="W49" s="173"/>
      <c r="X49" s="173"/>
      <c r="Y49" s="173"/>
    </row>
    <row r="50" spans="1:25" ht="12.75">
      <c r="A50" s="54">
        <v>7</v>
      </c>
      <c r="B50" s="61" t="s">
        <v>26</v>
      </c>
      <c r="C50" s="74"/>
      <c r="D50" s="74"/>
      <c r="E50" s="74"/>
      <c r="F50" s="106"/>
      <c r="G50" s="274"/>
      <c r="H50" s="336"/>
      <c r="I50" s="173"/>
      <c r="J50" s="173"/>
      <c r="K50" s="174"/>
      <c r="L50" s="174"/>
      <c r="M50" s="174"/>
      <c r="N50" s="174"/>
      <c r="O50" s="250"/>
      <c r="P50" s="260"/>
      <c r="Q50" s="176"/>
      <c r="R50" s="262"/>
      <c r="S50" s="250"/>
      <c r="T50" s="252"/>
      <c r="U50" s="170"/>
      <c r="V50" s="175"/>
      <c r="W50" s="173"/>
      <c r="X50" s="173"/>
      <c r="Y50" s="173"/>
    </row>
    <row r="51" spans="1:25" ht="12.75">
      <c r="A51" s="78" t="s">
        <v>99</v>
      </c>
      <c r="B51" s="69" t="s">
        <v>110</v>
      </c>
      <c r="C51" s="84">
        <v>2011</v>
      </c>
      <c r="D51" s="84"/>
      <c r="E51" s="224">
        <f>F51</f>
        <v>2931934</v>
      </c>
      <c r="F51" s="100">
        <f>2934048-2114</f>
        <v>2931934</v>
      </c>
      <c r="G51" s="272">
        <f>F51-H51</f>
        <v>1685161.19</v>
      </c>
      <c r="H51" s="338">
        <v>1246772.81</v>
      </c>
      <c r="I51" s="176">
        <f>+H51-J51</f>
        <v>0</v>
      </c>
      <c r="J51" s="330">
        <v>1246772.81</v>
      </c>
      <c r="K51" s="174"/>
      <c r="L51" s="174"/>
      <c r="M51" s="174"/>
      <c r="N51" s="174"/>
      <c r="O51" s="250"/>
      <c r="P51" s="260"/>
      <c r="Q51" s="176"/>
      <c r="R51" s="262"/>
      <c r="S51" s="250"/>
      <c r="T51" s="252"/>
      <c r="U51" s="170" t="s">
        <v>78</v>
      </c>
      <c r="V51" s="175"/>
      <c r="W51" s="173"/>
      <c r="X51" s="173"/>
      <c r="Y51" s="173"/>
    </row>
    <row r="52" spans="1:25" ht="12.75">
      <c r="A52" s="74"/>
      <c r="B52" s="52"/>
      <c r="C52" s="84"/>
      <c r="D52" s="84"/>
      <c r="E52" s="84"/>
      <c r="F52" s="101">
        <f>SUM(F51:F51)</f>
        <v>2931934</v>
      </c>
      <c r="G52" s="327">
        <f>SUM(G51:G51)</f>
        <v>1685161.19</v>
      </c>
      <c r="H52" s="339">
        <f>SUM(H51:H51)</f>
        <v>1246772.81</v>
      </c>
      <c r="I52" s="329">
        <f>SUM(I51:I51)</f>
        <v>0</v>
      </c>
      <c r="J52" s="328">
        <f>SUM(J51:J51)</f>
        <v>1246772.81</v>
      </c>
      <c r="K52" s="174"/>
      <c r="L52" s="174"/>
      <c r="M52" s="174"/>
      <c r="N52" s="174"/>
      <c r="O52" s="250"/>
      <c r="P52" s="260"/>
      <c r="Q52" s="176"/>
      <c r="R52" s="262"/>
      <c r="S52" s="250"/>
      <c r="T52" s="252"/>
      <c r="U52" s="170"/>
      <c r="V52" s="175"/>
      <c r="W52" s="173"/>
      <c r="X52" s="173"/>
      <c r="Y52" s="173"/>
    </row>
    <row r="53" spans="1:25" ht="12.75">
      <c r="A53" s="122"/>
      <c r="B53" s="70"/>
      <c r="C53" s="230"/>
      <c r="D53" s="237"/>
      <c r="E53" s="230"/>
      <c r="F53" s="315"/>
      <c r="G53" s="274"/>
      <c r="H53" s="336"/>
      <c r="I53" s="329"/>
      <c r="J53" s="173"/>
      <c r="K53" s="174"/>
      <c r="L53" s="174"/>
      <c r="M53" s="174"/>
      <c r="N53" s="174"/>
      <c r="O53" s="250"/>
      <c r="P53" s="260"/>
      <c r="Q53" s="176"/>
      <c r="R53" s="262"/>
      <c r="S53" s="250"/>
      <c r="T53" s="252"/>
      <c r="U53" s="170"/>
      <c r="V53" s="175"/>
      <c r="W53" s="173"/>
      <c r="X53" s="173"/>
      <c r="Y53" s="173"/>
    </row>
    <row r="54" spans="1:25" ht="27" customHeight="1">
      <c r="A54" s="304">
        <v>8</v>
      </c>
      <c r="B54" s="172" t="s">
        <v>11</v>
      </c>
      <c r="C54" s="231"/>
      <c r="D54" s="238"/>
      <c r="E54" s="231"/>
      <c r="F54" s="316"/>
      <c r="G54" s="275"/>
      <c r="H54" s="337"/>
      <c r="I54" s="173"/>
      <c r="J54" s="173"/>
      <c r="K54" s="174"/>
      <c r="L54" s="174"/>
      <c r="M54" s="174"/>
      <c r="N54" s="174"/>
      <c r="O54" s="250"/>
      <c r="P54" s="260"/>
      <c r="Q54" s="176"/>
      <c r="R54" s="262"/>
      <c r="S54" s="250"/>
      <c r="T54" s="252"/>
      <c r="U54" s="170"/>
      <c r="V54" s="175"/>
      <c r="W54" s="173"/>
      <c r="X54" s="173"/>
      <c r="Y54" s="173"/>
    </row>
    <row r="55" spans="1:25" ht="29.25" customHeight="1">
      <c r="A55" s="76" t="s">
        <v>28</v>
      </c>
      <c r="B55" s="64" t="s">
        <v>29</v>
      </c>
      <c r="C55" s="124" t="s">
        <v>223</v>
      </c>
      <c r="D55" s="244">
        <f>H55</f>
        <v>186507.73</v>
      </c>
      <c r="E55" s="124"/>
      <c r="F55" s="312">
        <f>150000+150000</f>
        <v>300000</v>
      </c>
      <c r="G55" s="272">
        <f>F55-H55</f>
        <v>113492.26999999999</v>
      </c>
      <c r="H55" s="334">
        <f>36507.73+150000</f>
        <v>186507.73</v>
      </c>
      <c r="I55" s="176">
        <f>+H55-J55</f>
        <v>0</v>
      </c>
      <c r="J55" s="176">
        <f>36507.73+150000</f>
        <v>186507.73</v>
      </c>
      <c r="K55" s="174"/>
      <c r="L55" s="174"/>
      <c r="M55" s="174">
        <v>0</v>
      </c>
      <c r="N55" s="174"/>
      <c r="O55" s="250"/>
      <c r="P55" s="261">
        <f>H55+M55</f>
        <v>186507.73</v>
      </c>
      <c r="Q55" s="176">
        <f>P55</f>
        <v>186507.73</v>
      </c>
      <c r="R55" s="262"/>
      <c r="S55" s="250"/>
      <c r="T55" s="283">
        <v>40564</v>
      </c>
      <c r="U55" s="58" t="s">
        <v>77</v>
      </c>
      <c r="V55" s="138" t="s">
        <v>199</v>
      </c>
      <c r="W55" s="176">
        <v>0</v>
      </c>
      <c r="X55" s="176">
        <v>0</v>
      </c>
      <c r="Y55" s="176">
        <f>H55-X55</f>
        <v>186507.73</v>
      </c>
    </row>
    <row r="56" spans="1:25" ht="25.5">
      <c r="A56" s="179" t="s">
        <v>103</v>
      </c>
      <c r="B56" s="181" t="s">
        <v>74</v>
      </c>
      <c r="C56" s="233" t="s">
        <v>145</v>
      </c>
      <c r="D56" s="244">
        <f>H56</f>
        <v>351340</v>
      </c>
      <c r="E56" s="233"/>
      <c r="F56" s="312">
        <f>250000+101340</f>
        <v>351340</v>
      </c>
      <c r="G56" s="272">
        <f>F56-H56</f>
        <v>0</v>
      </c>
      <c r="H56" s="334">
        <v>351340</v>
      </c>
      <c r="I56" s="176">
        <f>+H56-J56</f>
        <v>0</v>
      </c>
      <c r="J56" s="176">
        <v>351340</v>
      </c>
      <c r="K56" s="176"/>
      <c r="L56" s="176"/>
      <c r="M56" s="176">
        <v>0</v>
      </c>
      <c r="N56" s="176"/>
      <c r="O56" s="251"/>
      <c r="P56" s="261">
        <f>H56+M56</f>
        <v>351340</v>
      </c>
      <c r="Q56" s="176">
        <f>P56</f>
        <v>351340</v>
      </c>
      <c r="R56" s="262"/>
      <c r="S56" s="250"/>
      <c r="T56" s="252"/>
      <c r="U56" s="170" t="s">
        <v>80</v>
      </c>
      <c r="V56" s="138" t="s">
        <v>162</v>
      </c>
      <c r="W56" s="176">
        <v>0</v>
      </c>
      <c r="X56" s="176">
        <v>0</v>
      </c>
      <c r="Y56" s="176">
        <f>H56-X56</f>
        <v>351340</v>
      </c>
    </row>
    <row r="57" spans="1:25" ht="21.75" customHeight="1">
      <c r="A57" s="122"/>
      <c r="B57" s="70"/>
      <c r="C57" s="230"/>
      <c r="D57" s="237"/>
      <c r="E57" s="230"/>
      <c r="F57" s="309">
        <f>SUM(F55:F56)</f>
        <v>651340</v>
      </c>
      <c r="G57" s="273">
        <f>SUM(G55:G56)</f>
        <v>113492.26999999999</v>
      </c>
      <c r="H57" s="335">
        <f>SUM(H55:H56)</f>
        <v>537847.73</v>
      </c>
      <c r="I57" s="177">
        <f>SUM(I55:I56)</f>
        <v>0</v>
      </c>
      <c r="J57" s="177">
        <f>SUM(J55:J56)</f>
        <v>537847.73</v>
      </c>
      <c r="K57" s="174"/>
      <c r="L57" s="174"/>
      <c r="M57" s="174"/>
      <c r="N57" s="174"/>
      <c r="O57" s="250"/>
      <c r="P57" s="277">
        <f>SUM(P55:P56)</f>
        <v>537847.73</v>
      </c>
      <c r="Q57" s="177">
        <f>SUM(Q55:Q56)</f>
        <v>537847.73</v>
      </c>
      <c r="R57" s="278">
        <f>SUM(R55:R56)</f>
        <v>0</v>
      </c>
      <c r="S57" s="293"/>
      <c r="T57" s="252"/>
      <c r="U57" s="170"/>
      <c r="V57" s="208"/>
      <c r="W57" s="177">
        <f>SUM(W55:W56)</f>
        <v>0</v>
      </c>
      <c r="X57" s="177">
        <f>SUM(X55:X56)</f>
        <v>0</v>
      </c>
      <c r="Y57" s="177">
        <f>SUM(Y55:Y56)</f>
        <v>537847.73</v>
      </c>
    </row>
    <row r="58" spans="1:25" ht="20.25" customHeight="1">
      <c r="A58" s="122"/>
      <c r="B58" s="70"/>
      <c r="C58" s="230"/>
      <c r="D58" s="237"/>
      <c r="E58" s="230"/>
      <c r="F58" s="315"/>
      <c r="G58" s="274"/>
      <c r="H58" s="336"/>
      <c r="I58" s="173"/>
      <c r="J58" s="173"/>
      <c r="K58" s="174"/>
      <c r="L58" s="174"/>
      <c r="M58" s="174"/>
      <c r="N58" s="174"/>
      <c r="O58" s="250"/>
      <c r="P58" s="260"/>
      <c r="Q58" s="176"/>
      <c r="R58" s="262"/>
      <c r="S58" s="250"/>
      <c r="T58" s="252"/>
      <c r="U58" s="170"/>
      <c r="V58" s="175"/>
      <c r="W58" s="173"/>
      <c r="X58" s="173"/>
      <c r="Y58" s="173"/>
    </row>
    <row r="59" spans="1:21" ht="12.75">
      <c r="A59" s="304">
        <v>9</v>
      </c>
      <c r="B59" s="172" t="s">
        <v>10</v>
      </c>
      <c r="C59" s="231"/>
      <c r="D59" s="238"/>
      <c r="E59" s="231"/>
      <c r="F59" s="315"/>
      <c r="G59" s="271"/>
      <c r="H59" s="333"/>
      <c r="I59" s="173"/>
      <c r="J59" s="173"/>
      <c r="K59" s="174"/>
      <c r="L59" s="174"/>
      <c r="M59" s="174"/>
      <c r="N59" s="174"/>
      <c r="O59" s="250"/>
      <c r="P59" s="260"/>
      <c r="Q59" s="176"/>
      <c r="R59" s="262"/>
      <c r="S59" s="250"/>
      <c r="T59" s="252"/>
      <c r="U59" s="170"/>
    </row>
    <row r="60" spans="1:21" ht="38.25">
      <c r="A60" s="75" t="s">
        <v>128</v>
      </c>
      <c r="B60" s="71" t="s">
        <v>111</v>
      </c>
      <c r="C60" s="84">
        <v>2011</v>
      </c>
      <c r="D60" s="224">
        <f>F60</f>
        <v>1339649</v>
      </c>
      <c r="E60" s="84"/>
      <c r="F60" s="100">
        <f>1500000-160351</f>
        <v>1339649</v>
      </c>
      <c r="G60" s="272">
        <f>F60-H60</f>
        <v>1233113.42</v>
      </c>
      <c r="H60" s="334">
        <v>106535.58</v>
      </c>
      <c r="I60" s="176">
        <f>+H60-J60</f>
        <v>0</v>
      </c>
      <c r="J60" s="176">
        <v>106535.58</v>
      </c>
      <c r="K60" s="174"/>
      <c r="L60" s="174"/>
      <c r="M60" s="174"/>
      <c r="N60" s="174"/>
      <c r="O60" s="250"/>
      <c r="P60" s="261"/>
      <c r="Q60" s="176"/>
      <c r="R60" s="240"/>
      <c r="S60" s="250"/>
      <c r="T60" s="254"/>
      <c r="U60" s="170" t="s">
        <v>79</v>
      </c>
    </row>
    <row r="61" spans="1:21" ht="12.75">
      <c r="A61" s="122"/>
      <c r="B61" s="70"/>
      <c r="C61" s="230"/>
      <c r="D61" s="237"/>
      <c r="E61" s="230"/>
      <c r="F61" s="309">
        <f>SUM(F60:F60)</f>
        <v>1339649</v>
      </c>
      <c r="G61" s="273">
        <f>SUM(G60:G60)</f>
        <v>1233113.42</v>
      </c>
      <c r="H61" s="335">
        <f>SUM(H60:H60)</f>
        <v>106535.58</v>
      </c>
      <c r="I61" s="177">
        <f>SUM(I60:I60)</f>
        <v>0</v>
      </c>
      <c r="J61" s="101">
        <f>SUM(J60:J60)</f>
        <v>106535.58</v>
      </c>
      <c r="K61" s="174"/>
      <c r="L61" s="174"/>
      <c r="M61" s="174"/>
      <c r="N61" s="174"/>
      <c r="O61" s="250"/>
      <c r="P61" s="277" t="e">
        <f>SUM(#REF!)</f>
        <v>#REF!</v>
      </c>
      <c r="Q61" s="101" t="e">
        <f>SUM(#REF!)</f>
        <v>#REF!</v>
      </c>
      <c r="R61" s="241" t="e">
        <f>SUM(#REF!)</f>
        <v>#REF!</v>
      </c>
      <c r="S61" s="293"/>
      <c r="T61" s="252"/>
      <c r="U61" s="170"/>
    </row>
    <row r="62" spans="1:25" ht="18.75" customHeight="1">
      <c r="A62" s="171"/>
      <c r="B62" s="181"/>
      <c r="C62" s="231"/>
      <c r="D62" s="238"/>
      <c r="E62" s="231"/>
      <c r="F62" s="316"/>
      <c r="G62" s="275"/>
      <c r="H62" s="337"/>
      <c r="I62" s="168"/>
      <c r="J62" s="183"/>
      <c r="K62" s="174"/>
      <c r="L62" s="174"/>
      <c r="M62" s="174"/>
      <c r="N62" s="174"/>
      <c r="O62" s="250"/>
      <c r="P62" s="260"/>
      <c r="Q62" s="176"/>
      <c r="R62" s="262"/>
      <c r="S62" s="250"/>
      <c r="T62" s="256"/>
      <c r="U62" s="182"/>
      <c r="V62" s="138"/>
      <c r="W62" s="183"/>
      <c r="X62" s="183"/>
      <c r="Y62" s="183"/>
    </row>
    <row r="63" spans="1:25" ht="12.75">
      <c r="A63" s="304">
        <v>12</v>
      </c>
      <c r="B63" s="172" t="s">
        <v>14</v>
      </c>
      <c r="C63" s="231"/>
      <c r="D63" s="238"/>
      <c r="E63" s="231"/>
      <c r="F63" s="316"/>
      <c r="G63" s="275"/>
      <c r="H63" s="337"/>
      <c r="I63" s="173"/>
      <c r="J63" s="173"/>
      <c r="K63" s="174"/>
      <c r="L63" s="174"/>
      <c r="M63" s="174"/>
      <c r="N63" s="174"/>
      <c r="O63" s="250"/>
      <c r="P63" s="260"/>
      <c r="Q63" s="176"/>
      <c r="R63" s="262"/>
      <c r="S63" s="250"/>
      <c r="T63" s="252"/>
      <c r="U63" s="170"/>
      <c r="V63" s="175"/>
      <c r="W63" s="173"/>
      <c r="X63" s="173"/>
      <c r="Y63" s="173"/>
    </row>
    <row r="64" spans="1:25" ht="38.25">
      <c r="A64" s="179" t="s">
        <v>106</v>
      </c>
      <c r="B64" s="64" t="s">
        <v>30</v>
      </c>
      <c r="C64" s="124">
        <v>2010</v>
      </c>
      <c r="D64" s="243">
        <f>H64</f>
        <v>238716.35</v>
      </c>
      <c r="E64" s="124"/>
      <c r="F64" s="312">
        <f>800000+456834-12283</f>
        <v>1244551</v>
      </c>
      <c r="G64" s="272">
        <f>F64-H64</f>
        <v>1005834.65</v>
      </c>
      <c r="H64" s="334">
        <v>238716.35</v>
      </c>
      <c r="I64" s="176">
        <f>+H64-J64</f>
        <v>0</v>
      </c>
      <c r="J64" s="100">
        <v>238716.35</v>
      </c>
      <c r="K64" s="174"/>
      <c r="L64" s="174"/>
      <c r="M64" s="174">
        <v>456834</v>
      </c>
      <c r="N64" s="174"/>
      <c r="O64" s="250"/>
      <c r="P64" s="261">
        <f>H64+M64</f>
        <v>695550.35</v>
      </c>
      <c r="Q64" s="176">
        <f>P64</f>
        <v>695550.35</v>
      </c>
      <c r="R64" s="262"/>
      <c r="S64" s="250">
        <v>12283</v>
      </c>
      <c r="T64" s="255">
        <v>40632</v>
      </c>
      <c r="U64" s="170" t="s">
        <v>80</v>
      </c>
      <c r="V64" s="138" t="s">
        <v>163</v>
      </c>
      <c r="W64" s="100">
        <v>0</v>
      </c>
      <c r="X64" s="100">
        <v>0</v>
      </c>
      <c r="Y64" s="176">
        <f>H64-X64</f>
        <v>238716.35</v>
      </c>
    </row>
    <row r="65" spans="1:25" ht="25.5" customHeight="1">
      <c r="A65" s="122"/>
      <c r="B65" s="70"/>
      <c r="C65" s="230"/>
      <c r="D65" s="237"/>
      <c r="E65" s="230"/>
      <c r="F65" s="309">
        <f>SUM(F64)</f>
        <v>1244551</v>
      </c>
      <c r="G65" s="273">
        <f>SUM(G64)</f>
        <v>1005834.65</v>
      </c>
      <c r="H65" s="335">
        <f>SUM(H64)</f>
        <v>238716.35</v>
      </c>
      <c r="I65" s="177">
        <f>SUM(I64)</f>
        <v>0</v>
      </c>
      <c r="J65" s="177">
        <f>SUM(J64)</f>
        <v>238716.35</v>
      </c>
      <c r="K65" s="174"/>
      <c r="L65" s="174"/>
      <c r="M65" s="174"/>
      <c r="N65" s="174"/>
      <c r="O65" s="250"/>
      <c r="P65" s="277">
        <f>SUM(P64)</f>
        <v>695550.35</v>
      </c>
      <c r="Q65" s="177">
        <f>SUM(Q64)</f>
        <v>695550.35</v>
      </c>
      <c r="R65" s="278">
        <f>SUM(R64)</f>
        <v>0</v>
      </c>
      <c r="S65" s="293"/>
      <c r="T65" s="252"/>
      <c r="U65" s="170"/>
      <c r="V65" s="175"/>
      <c r="W65" s="177">
        <f>SUM(W64)</f>
        <v>0</v>
      </c>
      <c r="X65" s="177">
        <f>SUM(X64)</f>
        <v>0</v>
      </c>
      <c r="Y65" s="177">
        <f>SUM(Y64)</f>
        <v>238716.35</v>
      </c>
    </row>
    <row r="66" spans="1:25" ht="18" customHeight="1">
      <c r="A66" s="122"/>
      <c r="B66" s="70"/>
      <c r="C66" s="230"/>
      <c r="D66" s="237"/>
      <c r="E66" s="230"/>
      <c r="F66" s="309"/>
      <c r="G66" s="273"/>
      <c r="H66" s="335"/>
      <c r="I66" s="177"/>
      <c r="J66" s="177"/>
      <c r="K66" s="174"/>
      <c r="L66" s="174"/>
      <c r="M66" s="174"/>
      <c r="N66" s="174"/>
      <c r="O66" s="250"/>
      <c r="P66" s="260"/>
      <c r="Q66" s="176"/>
      <c r="R66" s="262"/>
      <c r="S66" s="250"/>
      <c r="T66" s="252"/>
      <c r="U66" s="170"/>
      <c r="V66" s="175"/>
      <c r="W66" s="177"/>
      <c r="X66" s="177"/>
      <c r="Y66" s="177"/>
    </row>
    <row r="67" spans="1:25" s="187" customFormat="1" ht="24.75" customHeight="1" thickBot="1">
      <c r="A67" s="184"/>
      <c r="B67" s="178"/>
      <c r="C67" s="234"/>
      <c r="D67" s="246">
        <f>SUM(D8:D66)</f>
        <v>11355050.14</v>
      </c>
      <c r="E67" s="308">
        <f>SUM(E8:E66)</f>
        <v>17313552.4</v>
      </c>
      <c r="F67" s="317">
        <f>F24+F34+F61+F57+F65+F48+F40+F11+F28+F52</f>
        <v>40304727</v>
      </c>
      <c r="G67" s="273">
        <f>G24+G34+G61+G57+G65+G48+G40+G11+G28+G52</f>
        <v>16338037.79</v>
      </c>
      <c r="H67" s="340">
        <f>H24+H34+H61+H57+H65+H48+H40+H11+H28+H52</f>
        <v>23966689.21</v>
      </c>
      <c r="I67" s="177">
        <f>I24+I34+I61+I57+I65+I48+I40+I11+I28+I52</f>
        <v>0</v>
      </c>
      <c r="J67" s="101">
        <f>J24+J34+J61+J57+J65+J48+J40+J11+J28+J52</f>
        <v>23966689.21</v>
      </c>
      <c r="K67" s="174">
        <f>SUM(K7:K66)</f>
        <v>-17059</v>
      </c>
      <c r="L67" s="174">
        <f>SUM(L7:L66)</f>
        <v>0</v>
      </c>
      <c r="M67" s="174">
        <f>SUM(M7:M66)</f>
        <v>834790</v>
      </c>
      <c r="N67" s="174">
        <f>SUM(N7:N66)</f>
        <v>0</v>
      </c>
      <c r="O67" s="250">
        <f>SUM(O7:O66)</f>
        <v>0</v>
      </c>
      <c r="P67" s="282" t="e">
        <f>P24+P34+P61+P57+P65+P48+P40+P11+#REF!</f>
        <v>#REF!</v>
      </c>
      <c r="Q67" s="279" t="e">
        <f>Q24+Q34+Q61+Q57+Q65+Q48+Q40+Q11+#REF!</f>
        <v>#REF!</v>
      </c>
      <c r="R67" s="247" t="e">
        <f>R24+R34+R61+R57+R65+R48+R40+R11+#REF!</f>
        <v>#REF!</v>
      </c>
      <c r="S67" s="294"/>
      <c r="T67" s="257"/>
      <c r="U67" s="185"/>
      <c r="V67" s="186"/>
      <c r="W67" s="101" t="e">
        <f>W24+W34+#REF!+W57+W65+W48+W40+W11+#REF!</f>
        <v>#REF!</v>
      </c>
      <c r="X67" s="101" t="e">
        <f>X24+X34+#REF!+X57+X65+X48+X40+X11+#REF!</f>
        <v>#REF!</v>
      </c>
      <c r="Y67" s="101" t="e">
        <f>Y24+Y34+#REF!+Y57+Y65+Y48+Y40+Y11+#REF!</f>
        <v>#REF!</v>
      </c>
    </row>
    <row r="68" spans="1:25" s="187" customFormat="1" ht="21.75" customHeight="1" thickBot="1">
      <c r="A68" s="10"/>
      <c r="B68" s="188"/>
      <c r="C68" s="163"/>
      <c r="D68" s="347">
        <f>SUM(D67:E67)</f>
        <v>28668602.54</v>
      </c>
      <c r="E68" s="348"/>
      <c r="F68" s="189"/>
      <c r="G68" s="189"/>
      <c r="H68" s="189"/>
      <c r="I68" s="285"/>
      <c r="J68" s="189"/>
      <c r="K68" s="143"/>
      <c r="L68" s="143"/>
      <c r="M68" s="217"/>
      <c r="N68" s="143"/>
      <c r="O68" s="143"/>
      <c r="P68" s="143"/>
      <c r="Q68" s="143"/>
      <c r="R68" s="143"/>
      <c r="S68" s="143"/>
      <c r="T68" s="190"/>
      <c r="U68" s="191"/>
      <c r="V68" s="192"/>
      <c r="W68" s="189"/>
      <c r="X68" s="218" t="e">
        <f>X67/H67</f>
        <v>#REF!</v>
      </c>
      <c r="Y68" s="218" t="e">
        <f>Y67/H67</f>
        <v>#REF!</v>
      </c>
    </row>
    <row r="69" spans="1:20" ht="12.75">
      <c r="A69" s="160"/>
      <c r="B69" s="188" t="s">
        <v>15</v>
      </c>
      <c r="C69" s="10"/>
      <c r="D69" s="10"/>
      <c r="E69" s="10"/>
      <c r="F69" s="189">
        <f>H67</f>
        <v>23966689.21</v>
      </c>
      <c r="G69" s="193"/>
      <c r="H69" s="194"/>
      <c r="I69" s="284"/>
      <c r="T69" s="49"/>
    </row>
    <row r="70" spans="1:25" ht="12.75">
      <c r="A70" s="160"/>
      <c r="B70" s="188" t="s">
        <v>215</v>
      </c>
      <c r="C70" s="160"/>
      <c r="D70" s="160"/>
      <c r="E70" s="160"/>
      <c r="F70" s="189">
        <f>I67</f>
        <v>0</v>
      </c>
      <c r="G70" s="49"/>
      <c r="H70" s="285"/>
      <c r="I70" s="284"/>
      <c r="J70" s="195"/>
      <c r="K70" s="196"/>
      <c r="L70" s="196"/>
      <c r="M70" s="196"/>
      <c r="N70" s="196"/>
      <c r="O70" s="196"/>
      <c r="P70" s="196"/>
      <c r="Q70" s="196"/>
      <c r="R70" s="196"/>
      <c r="S70" s="196"/>
      <c r="T70" s="49"/>
      <c r="W70" s="195"/>
      <c r="Y70" s="214" t="e">
        <f>X67+Y67</f>
        <v>#REF!</v>
      </c>
    </row>
    <row r="71" spans="1:25" ht="12.75">
      <c r="A71" s="160"/>
      <c r="B71" s="188" t="s">
        <v>18</v>
      </c>
      <c r="C71" s="160"/>
      <c r="D71" s="160"/>
      <c r="E71" s="160"/>
      <c r="F71" s="197">
        <f>I67/H67</f>
        <v>0</v>
      </c>
      <c r="G71" s="198"/>
      <c r="H71" s="286"/>
      <c r="I71" s="287"/>
      <c r="K71" s="196"/>
      <c r="L71" s="196"/>
      <c r="M71" s="218" t="e">
        <f>(#REF!+#REF!)/H67</f>
        <v>#REF!</v>
      </c>
      <c r="N71" s="196"/>
      <c r="O71" s="196"/>
      <c r="P71" s="196"/>
      <c r="Q71" s="196"/>
      <c r="R71" s="196"/>
      <c r="S71" s="196"/>
      <c r="T71" s="49"/>
      <c r="W71" s="195"/>
      <c r="X71" s="195" t="s">
        <v>71</v>
      </c>
      <c r="Y71" s="214" t="e">
        <f>#REF!</f>
        <v>#REF!</v>
      </c>
    </row>
    <row r="72" spans="1:25" ht="16.5" customHeight="1">
      <c r="A72" s="160"/>
      <c r="B72" s="49"/>
      <c r="C72" s="160"/>
      <c r="D72" s="160"/>
      <c r="E72" s="160"/>
      <c r="F72" s="197"/>
      <c r="G72" s="198"/>
      <c r="H72" s="199"/>
      <c r="I72" s="49"/>
      <c r="T72" s="49"/>
      <c r="X72" s="195"/>
      <c r="Y72" s="215" t="e">
        <f>SUM(Y70:Y71)</f>
        <v>#REF!</v>
      </c>
    </row>
    <row r="73" ht="12.75">
      <c r="H73" s="341">
        <v>24364448.339999996</v>
      </c>
    </row>
    <row r="74" ht="12.75">
      <c r="T74" s="143"/>
    </row>
    <row r="75" ht="12.75">
      <c r="H75" s="342">
        <f>H73-H67</f>
        <v>397759.12999999523</v>
      </c>
    </row>
    <row r="76" spans="1:20" ht="12.75">
      <c r="A76" s="160"/>
      <c r="B76" s="49"/>
      <c r="C76" s="160"/>
      <c r="D76" s="160"/>
      <c r="E76" s="160"/>
      <c r="F76" s="198"/>
      <c r="G76" s="198"/>
      <c r="H76" s="343">
        <v>299020</v>
      </c>
      <c r="I76" s="49"/>
      <c r="T76" s="49"/>
    </row>
    <row r="77" spans="1:20" ht="12.75">
      <c r="A77" s="160"/>
      <c r="B77" s="49"/>
      <c r="C77" s="160"/>
      <c r="D77" s="160"/>
      <c r="E77" s="160"/>
      <c r="F77" s="198"/>
      <c r="G77" s="198"/>
      <c r="H77" s="344">
        <f>H75-H76</f>
        <v>98739.12999999523</v>
      </c>
      <c r="I77" s="49"/>
      <c r="T77" s="49"/>
    </row>
    <row r="78" spans="1:25" ht="12.75">
      <c r="A78" s="160"/>
      <c r="B78" s="49"/>
      <c r="C78" s="160"/>
      <c r="D78" s="160"/>
      <c r="E78" s="160"/>
      <c r="F78" s="198"/>
      <c r="G78" s="198"/>
      <c r="H78" s="199"/>
      <c r="I78" s="200"/>
      <c r="J78" s="200"/>
      <c r="T78" s="49"/>
      <c r="W78" s="200"/>
      <c r="X78" s="200"/>
      <c r="Y78" s="200"/>
    </row>
    <row r="79" spans="1:20" ht="12.75">
      <c r="A79" s="160"/>
      <c r="B79" s="49"/>
      <c r="C79" s="160"/>
      <c r="D79" s="160"/>
      <c r="E79" s="160"/>
      <c r="F79" s="198"/>
      <c r="G79" s="198"/>
      <c r="H79" s="199"/>
      <c r="I79" s="49"/>
      <c r="T79" s="49"/>
    </row>
    <row r="80" spans="6:25" ht="15.75">
      <c r="F80" s="202"/>
      <c r="G80" s="202"/>
      <c r="H80" s="203"/>
      <c r="I80" s="204"/>
      <c r="J80" s="205"/>
      <c r="T80" s="204"/>
      <c r="U80" s="206"/>
      <c r="W80" s="205"/>
      <c r="X80" s="205"/>
      <c r="Y80" s="205"/>
    </row>
    <row r="81" spans="1:25" ht="15.75">
      <c r="A81" s="162"/>
      <c r="C81" s="162"/>
      <c r="D81" s="162"/>
      <c r="E81" s="162"/>
      <c r="F81" s="202"/>
      <c r="G81" s="202"/>
      <c r="H81" s="203"/>
      <c r="I81" s="204"/>
      <c r="J81" s="205"/>
      <c r="T81" s="204"/>
      <c r="U81" s="206"/>
      <c r="W81" s="205"/>
      <c r="X81" s="205"/>
      <c r="Y81" s="205"/>
    </row>
    <row r="82" spans="1:25" ht="15.75">
      <c r="A82" s="162"/>
      <c r="C82" s="162"/>
      <c r="D82" s="162"/>
      <c r="E82" s="162"/>
      <c r="F82" s="202"/>
      <c r="G82" s="202"/>
      <c r="H82" s="203"/>
      <c r="I82" s="204"/>
      <c r="J82" s="205"/>
      <c r="T82" s="204"/>
      <c r="U82" s="206"/>
      <c r="W82" s="205"/>
      <c r="X82" s="205"/>
      <c r="Y82" s="205"/>
    </row>
    <row r="83" spans="1:25" ht="15.75">
      <c r="A83" s="162"/>
      <c r="C83" s="162"/>
      <c r="D83" s="162"/>
      <c r="E83" s="162"/>
      <c r="F83" s="202"/>
      <c r="G83" s="202"/>
      <c r="H83" s="203"/>
      <c r="I83" s="204"/>
      <c r="J83" s="205"/>
      <c r="T83" s="204"/>
      <c r="U83" s="206"/>
      <c r="W83" s="205"/>
      <c r="X83" s="205"/>
      <c r="Y83" s="205"/>
    </row>
    <row r="84" spans="1:25" ht="15.75">
      <c r="A84" s="162"/>
      <c r="C84" s="162"/>
      <c r="D84" s="162"/>
      <c r="E84" s="162"/>
      <c r="F84" s="202"/>
      <c r="G84" s="202"/>
      <c r="H84" s="203"/>
      <c r="I84" s="204"/>
      <c r="J84" s="205"/>
      <c r="T84" s="204"/>
      <c r="U84" s="206"/>
      <c r="W84" s="205"/>
      <c r="X84" s="205"/>
      <c r="Y84" s="205"/>
    </row>
    <row r="85" spans="1:25" ht="15.75">
      <c r="A85" s="162"/>
      <c r="C85" s="162"/>
      <c r="D85" s="162"/>
      <c r="E85" s="162"/>
      <c r="F85" s="204"/>
      <c r="G85" s="204"/>
      <c r="H85" s="207"/>
      <c r="I85" s="204"/>
      <c r="J85" s="205"/>
      <c r="T85" s="204"/>
      <c r="U85" s="206"/>
      <c r="W85" s="205"/>
      <c r="X85" s="205"/>
      <c r="Y85" s="205"/>
    </row>
    <row r="86" spans="1:25" ht="15.75">
      <c r="A86" s="162"/>
      <c r="C86" s="162"/>
      <c r="D86" s="162"/>
      <c r="E86" s="162"/>
      <c r="F86" s="204"/>
      <c r="G86" s="204"/>
      <c r="H86" s="207"/>
      <c r="I86" s="204"/>
      <c r="J86" s="205"/>
      <c r="T86" s="204"/>
      <c r="U86" s="206"/>
      <c r="W86" s="205"/>
      <c r="X86" s="205"/>
      <c r="Y86" s="205"/>
    </row>
    <row r="87" spans="1:25" ht="15.75">
      <c r="A87" s="162"/>
      <c r="C87" s="162"/>
      <c r="D87" s="162"/>
      <c r="E87" s="162"/>
      <c r="F87" s="204"/>
      <c r="G87" s="204"/>
      <c r="H87" s="207"/>
      <c r="I87" s="204"/>
      <c r="J87" s="205"/>
      <c r="T87" s="204"/>
      <c r="U87" s="206"/>
      <c r="W87" s="205"/>
      <c r="X87" s="205"/>
      <c r="Y87" s="205"/>
    </row>
    <row r="88" spans="1:25" ht="15.75">
      <c r="A88" s="162"/>
      <c r="C88" s="162"/>
      <c r="D88" s="162"/>
      <c r="E88" s="162"/>
      <c r="F88" s="204"/>
      <c r="G88" s="204"/>
      <c r="H88" s="204"/>
      <c r="I88" s="204"/>
      <c r="J88" s="205"/>
      <c r="T88" s="204"/>
      <c r="U88" s="206"/>
      <c r="W88" s="205"/>
      <c r="X88" s="205"/>
      <c r="Y88" s="205"/>
    </row>
    <row r="89" spans="1:25" ht="15.75">
      <c r="A89" s="162"/>
      <c r="C89" s="162"/>
      <c r="D89" s="162"/>
      <c r="E89" s="162"/>
      <c r="F89" s="204"/>
      <c r="G89" s="204"/>
      <c r="H89" s="204"/>
      <c r="I89" s="204"/>
      <c r="J89" s="205"/>
      <c r="T89" s="204"/>
      <c r="U89" s="206"/>
      <c r="W89" s="205"/>
      <c r="X89" s="205"/>
      <c r="Y89" s="205"/>
    </row>
    <row r="90" spans="1:25" ht="15.75">
      <c r="A90" s="162"/>
      <c r="C90" s="162"/>
      <c r="D90" s="162"/>
      <c r="E90" s="162"/>
      <c r="F90" s="204"/>
      <c r="G90" s="204"/>
      <c r="H90" s="204"/>
      <c r="I90" s="204"/>
      <c r="J90" s="205"/>
      <c r="T90" s="204"/>
      <c r="U90" s="206"/>
      <c r="W90" s="205"/>
      <c r="X90" s="205"/>
      <c r="Y90" s="205"/>
    </row>
    <row r="91" spans="1:25" ht="15.75">
      <c r="A91" s="162"/>
      <c r="C91" s="162"/>
      <c r="D91" s="162"/>
      <c r="E91" s="162"/>
      <c r="F91" s="204"/>
      <c r="G91" s="204"/>
      <c r="H91" s="204"/>
      <c r="I91" s="204"/>
      <c r="J91" s="205"/>
      <c r="T91" s="204"/>
      <c r="U91" s="206"/>
      <c r="W91" s="205"/>
      <c r="X91" s="205"/>
      <c r="Y91" s="205"/>
    </row>
    <row r="92" spans="1:25" ht="15.75">
      <c r="A92" s="162"/>
      <c r="C92" s="162"/>
      <c r="D92" s="162"/>
      <c r="E92" s="162"/>
      <c r="F92" s="204"/>
      <c r="G92" s="204"/>
      <c r="H92" s="204"/>
      <c r="I92" s="204"/>
      <c r="J92" s="205"/>
      <c r="T92" s="204"/>
      <c r="U92" s="206"/>
      <c r="W92" s="205"/>
      <c r="X92" s="205"/>
      <c r="Y92" s="205"/>
    </row>
    <row r="93" spans="1:25" ht="15.75">
      <c r="A93" s="162"/>
      <c r="C93" s="162"/>
      <c r="D93" s="162"/>
      <c r="E93" s="162"/>
      <c r="F93" s="204"/>
      <c r="G93" s="204"/>
      <c r="H93" s="204"/>
      <c r="I93" s="204"/>
      <c r="J93" s="205"/>
      <c r="T93" s="204"/>
      <c r="U93" s="206"/>
      <c r="W93" s="205"/>
      <c r="X93" s="205"/>
      <c r="Y93" s="205"/>
    </row>
    <row r="94" spans="1:25" ht="15.75">
      <c r="A94" s="162"/>
      <c r="C94" s="162"/>
      <c r="D94" s="162"/>
      <c r="E94" s="162"/>
      <c r="F94" s="204"/>
      <c r="G94" s="204"/>
      <c r="H94" s="204"/>
      <c r="I94" s="204"/>
      <c r="J94" s="205"/>
      <c r="T94" s="204"/>
      <c r="U94" s="206"/>
      <c r="W94" s="205"/>
      <c r="X94" s="205"/>
      <c r="Y94" s="205"/>
    </row>
    <row r="95" spans="1:25" ht="15.75">
      <c r="A95" s="162"/>
      <c r="C95" s="162"/>
      <c r="D95" s="162"/>
      <c r="E95" s="162"/>
      <c r="F95" s="204"/>
      <c r="G95" s="204"/>
      <c r="H95" s="204"/>
      <c r="I95" s="204"/>
      <c r="J95" s="205"/>
      <c r="T95" s="204"/>
      <c r="U95" s="206"/>
      <c r="W95" s="205"/>
      <c r="X95" s="205"/>
      <c r="Y95" s="205"/>
    </row>
    <row r="96" spans="1:25" ht="15.75">
      <c r="A96" s="162"/>
      <c r="C96" s="162"/>
      <c r="D96" s="162"/>
      <c r="E96" s="162"/>
      <c r="F96" s="204"/>
      <c r="G96" s="204"/>
      <c r="H96" s="204"/>
      <c r="I96" s="204"/>
      <c r="J96" s="205"/>
      <c r="T96" s="204"/>
      <c r="U96" s="206"/>
      <c r="W96" s="205"/>
      <c r="X96" s="205"/>
      <c r="Y96" s="205"/>
    </row>
    <row r="97" spans="1:25" ht="15.75">
      <c r="A97" s="162"/>
      <c r="C97" s="162"/>
      <c r="D97" s="162"/>
      <c r="E97" s="162"/>
      <c r="F97" s="204"/>
      <c r="G97" s="204"/>
      <c r="H97" s="204"/>
      <c r="I97" s="204"/>
      <c r="J97" s="205"/>
      <c r="T97" s="204"/>
      <c r="U97" s="206"/>
      <c r="W97" s="205"/>
      <c r="X97" s="205"/>
      <c r="Y97" s="205"/>
    </row>
    <row r="98" spans="1:25" ht="15.75">
      <c r="A98" s="162"/>
      <c r="C98" s="162"/>
      <c r="D98" s="162"/>
      <c r="E98" s="162"/>
      <c r="F98" s="204"/>
      <c r="G98" s="204"/>
      <c r="H98" s="204"/>
      <c r="I98" s="204"/>
      <c r="J98" s="205"/>
      <c r="T98" s="204"/>
      <c r="U98" s="206"/>
      <c r="W98" s="205"/>
      <c r="X98" s="205"/>
      <c r="Y98" s="205"/>
    </row>
    <row r="99" spans="1:25" ht="15.75">
      <c r="A99" s="162"/>
      <c r="C99" s="162"/>
      <c r="D99" s="162"/>
      <c r="E99" s="162"/>
      <c r="F99" s="204"/>
      <c r="G99" s="204"/>
      <c r="H99" s="204"/>
      <c r="I99" s="204"/>
      <c r="J99" s="205"/>
      <c r="T99" s="204"/>
      <c r="U99" s="206"/>
      <c r="W99" s="205"/>
      <c r="X99" s="205"/>
      <c r="Y99" s="205"/>
    </row>
    <row r="100" spans="1:25" ht="15.75">
      <c r="A100" s="162"/>
      <c r="C100" s="162"/>
      <c r="D100" s="162"/>
      <c r="E100" s="162"/>
      <c r="F100" s="204"/>
      <c r="G100" s="204"/>
      <c r="H100" s="204"/>
      <c r="I100" s="204"/>
      <c r="J100" s="205"/>
      <c r="T100" s="204"/>
      <c r="U100" s="206"/>
      <c r="W100" s="205"/>
      <c r="X100" s="205"/>
      <c r="Y100" s="205"/>
    </row>
    <row r="101" spans="1:25" ht="15.75">
      <c r="A101" s="162"/>
      <c r="C101" s="162"/>
      <c r="D101" s="162"/>
      <c r="E101" s="162"/>
      <c r="F101" s="204"/>
      <c r="G101" s="204"/>
      <c r="H101" s="204"/>
      <c r="I101" s="204"/>
      <c r="J101" s="205"/>
      <c r="T101" s="204"/>
      <c r="U101" s="206"/>
      <c r="W101" s="205"/>
      <c r="X101" s="205"/>
      <c r="Y101" s="205"/>
    </row>
    <row r="102" spans="1:25" ht="15.75">
      <c r="A102" s="162"/>
      <c r="C102" s="162"/>
      <c r="D102" s="162"/>
      <c r="E102" s="162"/>
      <c r="F102" s="204"/>
      <c r="G102" s="204"/>
      <c r="H102" s="204"/>
      <c r="I102" s="204"/>
      <c r="J102" s="205"/>
      <c r="T102" s="204"/>
      <c r="U102" s="206"/>
      <c r="W102" s="205"/>
      <c r="X102" s="205"/>
      <c r="Y102" s="205"/>
    </row>
    <row r="103" spans="1:25" ht="15.75">
      <c r="A103" s="162"/>
      <c r="C103" s="162"/>
      <c r="D103" s="162"/>
      <c r="E103" s="162"/>
      <c r="F103" s="204"/>
      <c r="G103" s="204"/>
      <c r="H103" s="204"/>
      <c r="I103" s="204"/>
      <c r="J103" s="205"/>
      <c r="T103" s="204"/>
      <c r="U103" s="206"/>
      <c r="W103" s="205"/>
      <c r="X103" s="205"/>
      <c r="Y103" s="205"/>
    </row>
    <row r="104" spans="1:25" ht="15.75">
      <c r="A104" s="162"/>
      <c r="C104" s="162"/>
      <c r="D104" s="162"/>
      <c r="E104" s="162"/>
      <c r="F104" s="204"/>
      <c r="G104" s="204"/>
      <c r="H104" s="204"/>
      <c r="I104" s="204"/>
      <c r="J104" s="205"/>
      <c r="T104" s="204"/>
      <c r="U104" s="206"/>
      <c r="W104" s="205"/>
      <c r="X104" s="205"/>
      <c r="Y104" s="205"/>
    </row>
    <row r="105" spans="1:25" ht="15.75">
      <c r="A105" s="162"/>
      <c r="C105" s="162"/>
      <c r="D105" s="162"/>
      <c r="E105" s="162"/>
      <c r="F105" s="204"/>
      <c r="G105" s="204"/>
      <c r="H105" s="204"/>
      <c r="I105" s="204"/>
      <c r="J105" s="205"/>
      <c r="T105" s="204"/>
      <c r="U105" s="206"/>
      <c r="W105" s="205"/>
      <c r="X105" s="205"/>
      <c r="Y105" s="205"/>
    </row>
    <row r="106" spans="1:25" ht="15.75">
      <c r="A106" s="162"/>
      <c r="C106" s="162"/>
      <c r="D106" s="162"/>
      <c r="E106" s="162"/>
      <c r="F106" s="204"/>
      <c r="G106" s="204"/>
      <c r="H106" s="204"/>
      <c r="I106" s="204"/>
      <c r="J106" s="205"/>
      <c r="T106" s="204"/>
      <c r="U106" s="206"/>
      <c r="W106" s="205"/>
      <c r="X106" s="205"/>
      <c r="Y106" s="205"/>
    </row>
    <row r="107" spans="1:25" ht="15.75">
      <c r="A107" s="162"/>
      <c r="C107" s="162"/>
      <c r="D107" s="162"/>
      <c r="E107" s="162"/>
      <c r="F107" s="204"/>
      <c r="G107" s="204"/>
      <c r="H107" s="204"/>
      <c r="I107" s="204"/>
      <c r="J107" s="205"/>
      <c r="T107" s="204"/>
      <c r="U107" s="206"/>
      <c r="W107" s="205"/>
      <c r="X107" s="205"/>
      <c r="Y107" s="205"/>
    </row>
    <row r="108" spans="1:25" ht="15.75">
      <c r="A108" s="162"/>
      <c r="C108" s="162"/>
      <c r="D108" s="162"/>
      <c r="E108" s="162"/>
      <c r="F108" s="204"/>
      <c r="G108" s="204"/>
      <c r="H108" s="204"/>
      <c r="I108" s="204"/>
      <c r="J108" s="205"/>
      <c r="T108" s="204"/>
      <c r="U108" s="206"/>
      <c r="W108" s="205"/>
      <c r="X108" s="205"/>
      <c r="Y108" s="205"/>
    </row>
    <row r="109" spans="1:25" ht="15.75">
      <c r="A109" s="162"/>
      <c r="C109" s="162"/>
      <c r="D109" s="162"/>
      <c r="E109" s="162"/>
      <c r="F109" s="204"/>
      <c r="G109" s="204"/>
      <c r="H109" s="204"/>
      <c r="I109" s="204"/>
      <c r="J109" s="205"/>
      <c r="T109" s="204"/>
      <c r="U109" s="206"/>
      <c r="W109" s="205"/>
      <c r="X109" s="205"/>
      <c r="Y109" s="205"/>
    </row>
    <row r="110" spans="1:25" ht="15.75">
      <c r="A110" s="162"/>
      <c r="C110" s="162"/>
      <c r="D110" s="162"/>
      <c r="E110" s="162"/>
      <c r="F110" s="204"/>
      <c r="G110" s="204"/>
      <c r="H110" s="204"/>
      <c r="I110" s="204"/>
      <c r="J110" s="205"/>
      <c r="T110" s="204"/>
      <c r="U110" s="206"/>
      <c r="W110" s="205"/>
      <c r="X110" s="205"/>
      <c r="Y110" s="205"/>
    </row>
    <row r="111" spans="1:25" ht="15.75">
      <c r="A111" s="162"/>
      <c r="C111" s="162"/>
      <c r="D111" s="162"/>
      <c r="E111" s="162"/>
      <c r="F111" s="204"/>
      <c r="G111" s="204"/>
      <c r="H111" s="204"/>
      <c r="I111" s="204"/>
      <c r="J111" s="205"/>
      <c r="T111" s="204"/>
      <c r="U111" s="206"/>
      <c r="W111" s="205"/>
      <c r="X111" s="205"/>
      <c r="Y111" s="205"/>
    </row>
    <row r="112" spans="1:25" ht="15.75">
      <c r="A112" s="162"/>
      <c r="C112" s="162"/>
      <c r="D112" s="162"/>
      <c r="E112" s="162"/>
      <c r="F112" s="204"/>
      <c r="G112" s="204"/>
      <c r="H112" s="204"/>
      <c r="I112" s="204"/>
      <c r="J112" s="205"/>
      <c r="T112" s="204"/>
      <c r="U112" s="206"/>
      <c r="W112" s="205"/>
      <c r="X112" s="205"/>
      <c r="Y112" s="205"/>
    </row>
    <row r="113" spans="1:25" ht="15.75">
      <c r="A113" s="162"/>
      <c r="C113" s="162"/>
      <c r="D113" s="162"/>
      <c r="E113" s="162"/>
      <c r="F113" s="204"/>
      <c r="G113" s="204"/>
      <c r="H113" s="204"/>
      <c r="I113" s="204"/>
      <c r="J113" s="205"/>
      <c r="T113" s="204"/>
      <c r="U113" s="206"/>
      <c r="W113" s="205"/>
      <c r="X113" s="205"/>
      <c r="Y113" s="205"/>
    </row>
    <row r="114" spans="1:25" ht="15.75">
      <c r="A114" s="162"/>
      <c r="C114" s="162"/>
      <c r="D114" s="162"/>
      <c r="E114" s="162"/>
      <c r="F114" s="204"/>
      <c r="G114" s="204"/>
      <c r="H114" s="204"/>
      <c r="I114" s="204"/>
      <c r="J114" s="205"/>
      <c r="T114" s="204"/>
      <c r="U114" s="206"/>
      <c r="W114" s="205"/>
      <c r="X114" s="205"/>
      <c r="Y114" s="205"/>
    </row>
    <row r="115" spans="1:25" ht="15.75">
      <c r="A115" s="162"/>
      <c r="C115" s="162"/>
      <c r="D115" s="162"/>
      <c r="E115" s="162"/>
      <c r="F115" s="204"/>
      <c r="G115" s="204"/>
      <c r="H115" s="204"/>
      <c r="I115" s="204"/>
      <c r="J115" s="205"/>
      <c r="T115" s="204"/>
      <c r="U115" s="206"/>
      <c r="W115" s="205"/>
      <c r="X115" s="205"/>
      <c r="Y115" s="205"/>
    </row>
    <row r="116" spans="1:25" ht="15.75">
      <c r="A116" s="162"/>
      <c r="C116" s="162"/>
      <c r="D116" s="162"/>
      <c r="E116" s="162"/>
      <c r="F116" s="204"/>
      <c r="G116" s="204"/>
      <c r="H116" s="204"/>
      <c r="I116" s="204"/>
      <c r="J116" s="205"/>
      <c r="T116" s="204"/>
      <c r="U116" s="206"/>
      <c r="W116" s="205"/>
      <c r="X116" s="205"/>
      <c r="Y116" s="205"/>
    </row>
    <row r="117" spans="1:25" ht="15.75">
      <c r="A117" s="162"/>
      <c r="C117" s="162"/>
      <c r="D117" s="162"/>
      <c r="E117" s="162"/>
      <c r="F117" s="204"/>
      <c r="G117" s="204"/>
      <c r="H117" s="204"/>
      <c r="I117" s="204"/>
      <c r="J117" s="205"/>
      <c r="T117" s="204"/>
      <c r="U117" s="206"/>
      <c r="W117" s="205"/>
      <c r="X117" s="205"/>
      <c r="Y117" s="205"/>
    </row>
    <row r="118" spans="1:25" ht="15.75">
      <c r="A118" s="162"/>
      <c r="C118" s="162"/>
      <c r="D118" s="162"/>
      <c r="E118" s="162"/>
      <c r="F118" s="204"/>
      <c r="G118" s="204"/>
      <c r="H118" s="204"/>
      <c r="I118" s="204"/>
      <c r="J118" s="205"/>
      <c r="T118" s="204"/>
      <c r="U118" s="206"/>
      <c r="W118" s="205"/>
      <c r="X118" s="205"/>
      <c r="Y118" s="205"/>
    </row>
    <row r="119" spans="1:25" ht="15.75">
      <c r="A119" s="162"/>
      <c r="C119" s="162"/>
      <c r="D119" s="162"/>
      <c r="E119" s="162"/>
      <c r="F119" s="204"/>
      <c r="G119" s="204"/>
      <c r="H119" s="204"/>
      <c r="I119" s="204"/>
      <c r="J119" s="205"/>
      <c r="T119" s="204"/>
      <c r="U119" s="206"/>
      <c r="W119" s="205"/>
      <c r="X119" s="205"/>
      <c r="Y119" s="205"/>
    </row>
    <row r="120" spans="1:25" ht="15.75">
      <c r="A120" s="162"/>
      <c r="C120" s="162"/>
      <c r="D120" s="162"/>
      <c r="E120" s="162"/>
      <c r="F120" s="204"/>
      <c r="G120" s="204"/>
      <c r="H120" s="204"/>
      <c r="I120" s="204"/>
      <c r="J120" s="205"/>
      <c r="T120" s="204"/>
      <c r="U120" s="206"/>
      <c r="W120" s="205"/>
      <c r="X120" s="205"/>
      <c r="Y120" s="205"/>
    </row>
    <row r="121" spans="1:25" ht="15.75">
      <c r="A121" s="162"/>
      <c r="C121" s="162"/>
      <c r="D121" s="162"/>
      <c r="E121" s="162"/>
      <c r="F121" s="204"/>
      <c r="G121" s="204"/>
      <c r="H121" s="204"/>
      <c r="I121" s="204"/>
      <c r="J121" s="205"/>
      <c r="T121" s="204"/>
      <c r="U121" s="206"/>
      <c r="W121" s="205"/>
      <c r="X121" s="205"/>
      <c r="Y121" s="205"/>
    </row>
    <row r="122" spans="1:25" ht="15.75">
      <c r="A122" s="162"/>
      <c r="C122" s="162"/>
      <c r="D122" s="162"/>
      <c r="E122" s="162"/>
      <c r="F122" s="204"/>
      <c r="G122" s="204"/>
      <c r="H122" s="204"/>
      <c r="I122" s="204"/>
      <c r="J122" s="205"/>
      <c r="T122" s="204"/>
      <c r="U122" s="206"/>
      <c r="W122" s="205"/>
      <c r="X122" s="205"/>
      <c r="Y122" s="205"/>
    </row>
    <row r="123" spans="1:25" ht="15.75">
      <c r="A123" s="162"/>
      <c r="C123" s="162"/>
      <c r="D123" s="162"/>
      <c r="E123" s="162"/>
      <c r="F123" s="204"/>
      <c r="G123" s="204"/>
      <c r="H123" s="204"/>
      <c r="I123" s="204"/>
      <c r="J123" s="205"/>
      <c r="T123" s="204"/>
      <c r="U123" s="206"/>
      <c r="W123" s="205"/>
      <c r="X123" s="205"/>
      <c r="Y123" s="205"/>
    </row>
    <row r="124" spans="1:25" ht="15.75">
      <c r="A124" s="162"/>
      <c r="C124" s="162"/>
      <c r="D124" s="162"/>
      <c r="E124" s="162"/>
      <c r="F124" s="204"/>
      <c r="G124" s="204"/>
      <c r="H124" s="204"/>
      <c r="I124" s="204"/>
      <c r="J124" s="205"/>
      <c r="T124" s="204"/>
      <c r="U124" s="206"/>
      <c r="W124" s="205"/>
      <c r="X124" s="205"/>
      <c r="Y124" s="205"/>
    </row>
    <row r="125" spans="1:25" ht="15.75">
      <c r="A125" s="162"/>
      <c r="C125" s="162"/>
      <c r="D125" s="162"/>
      <c r="E125" s="162"/>
      <c r="F125" s="204"/>
      <c r="G125" s="204"/>
      <c r="H125" s="204"/>
      <c r="I125" s="204"/>
      <c r="J125" s="205"/>
      <c r="T125" s="204"/>
      <c r="U125" s="206"/>
      <c r="W125" s="205"/>
      <c r="X125" s="205"/>
      <c r="Y125" s="205"/>
    </row>
    <row r="126" spans="1:25" ht="15.75">
      <c r="A126" s="162"/>
      <c r="C126" s="162"/>
      <c r="D126" s="162"/>
      <c r="E126" s="162"/>
      <c r="F126" s="204"/>
      <c r="G126" s="204"/>
      <c r="H126" s="204"/>
      <c r="I126" s="204"/>
      <c r="J126" s="205"/>
      <c r="T126" s="204"/>
      <c r="U126" s="206"/>
      <c r="W126" s="205"/>
      <c r="X126" s="205"/>
      <c r="Y126" s="205"/>
    </row>
    <row r="127" spans="1:25" ht="15.75">
      <c r="A127" s="162"/>
      <c r="C127" s="162"/>
      <c r="D127" s="162"/>
      <c r="E127" s="162"/>
      <c r="F127" s="204"/>
      <c r="G127" s="204"/>
      <c r="H127" s="204"/>
      <c r="I127" s="204"/>
      <c r="J127" s="205"/>
      <c r="T127" s="204"/>
      <c r="U127" s="206"/>
      <c r="W127" s="205"/>
      <c r="X127" s="205"/>
      <c r="Y127" s="205"/>
    </row>
    <row r="128" spans="1:25" ht="15.75">
      <c r="A128" s="162"/>
      <c r="C128" s="162"/>
      <c r="D128" s="162"/>
      <c r="E128" s="162"/>
      <c r="F128" s="204"/>
      <c r="G128" s="204"/>
      <c r="H128" s="204"/>
      <c r="I128" s="204"/>
      <c r="J128" s="205"/>
      <c r="T128" s="204"/>
      <c r="U128" s="206"/>
      <c r="W128" s="205"/>
      <c r="X128" s="205"/>
      <c r="Y128" s="205"/>
    </row>
    <row r="129" spans="1:25" ht="15.75">
      <c r="A129" s="162"/>
      <c r="C129" s="162"/>
      <c r="D129" s="162"/>
      <c r="E129" s="162"/>
      <c r="F129" s="204"/>
      <c r="G129" s="204"/>
      <c r="H129" s="204"/>
      <c r="I129" s="204"/>
      <c r="J129" s="205"/>
      <c r="T129" s="204"/>
      <c r="U129" s="206"/>
      <c r="W129" s="205"/>
      <c r="X129" s="205"/>
      <c r="Y129" s="205"/>
    </row>
    <row r="130" spans="1:25" ht="15.75">
      <c r="A130" s="162"/>
      <c r="C130" s="162"/>
      <c r="D130" s="162"/>
      <c r="E130" s="162"/>
      <c r="F130" s="204"/>
      <c r="G130" s="204"/>
      <c r="H130" s="204"/>
      <c r="I130" s="204"/>
      <c r="J130" s="205"/>
      <c r="T130" s="204"/>
      <c r="U130" s="206"/>
      <c r="W130" s="205"/>
      <c r="X130" s="205"/>
      <c r="Y130" s="205"/>
    </row>
    <row r="131" spans="1:25" ht="15.75">
      <c r="A131" s="162"/>
      <c r="C131" s="162"/>
      <c r="D131" s="162"/>
      <c r="E131" s="162"/>
      <c r="F131" s="204"/>
      <c r="G131" s="204"/>
      <c r="H131" s="204"/>
      <c r="I131" s="204"/>
      <c r="J131" s="205"/>
      <c r="T131" s="204"/>
      <c r="U131" s="206"/>
      <c r="W131" s="205"/>
      <c r="X131" s="205"/>
      <c r="Y131" s="205"/>
    </row>
    <row r="132" spans="1:25" ht="15.75">
      <c r="A132" s="162"/>
      <c r="C132" s="162"/>
      <c r="D132" s="162"/>
      <c r="E132" s="162"/>
      <c r="F132" s="204"/>
      <c r="G132" s="204"/>
      <c r="H132" s="204"/>
      <c r="I132" s="204"/>
      <c r="J132" s="205"/>
      <c r="T132" s="204"/>
      <c r="U132" s="206"/>
      <c r="W132" s="205"/>
      <c r="X132" s="205"/>
      <c r="Y132" s="205"/>
    </row>
    <row r="133" spans="1:25" ht="15.75">
      <c r="A133" s="162"/>
      <c r="C133" s="162"/>
      <c r="D133" s="162"/>
      <c r="E133" s="162"/>
      <c r="F133" s="204"/>
      <c r="G133" s="204"/>
      <c r="H133" s="204"/>
      <c r="I133" s="204"/>
      <c r="J133" s="205"/>
      <c r="T133" s="204"/>
      <c r="U133" s="206"/>
      <c r="W133" s="205"/>
      <c r="X133" s="205"/>
      <c r="Y133" s="205"/>
    </row>
    <row r="134" spans="1:25" ht="15.75">
      <c r="A134" s="162"/>
      <c r="C134" s="162"/>
      <c r="D134" s="162"/>
      <c r="E134" s="162"/>
      <c r="F134" s="204"/>
      <c r="G134" s="204"/>
      <c r="H134" s="204"/>
      <c r="I134" s="204"/>
      <c r="J134" s="205"/>
      <c r="T134" s="204"/>
      <c r="U134" s="206"/>
      <c r="W134" s="205"/>
      <c r="X134" s="205"/>
      <c r="Y134" s="205"/>
    </row>
    <row r="135" spans="1:25" ht="15.75">
      <c r="A135" s="162"/>
      <c r="C135" s="162"/>
      <c r="D135" s="162"/>
      <c r="E135" s="162"/>
      <c r="F135" s="204"/>
      <c r="G135" s="204"/>
      <c r="H135" s="204"/>
      <c r="I135" s="204"/>
      <c r="J135" s="205"/>
      <c r="T135" s="204"/>
      <c r="U135" s="206"/>
      <c r="W135" s="205"/>
      <c r="X135" s="205"/>
      <c r="Y135" s="205"/>
    </row>
    <row r="136" spans="1:25" ht="15.75">
      <c r="A136" s="162"/>
      <c r="C136" s="162"/>
      <c r="D136" s="162"/>
      <c r="E136" s="162"/>
      <c r="F136" s="204"/>
      <c r="G136" s="204"/>
      <c r="H136" s="204"/>
      <c r="I136" s="204"/>
      <c r="J136" s="205"/>
      <c r="T136" s="204"/>
      <c r="U136" s="206"/>
      <c r="W136" s="205"/>
      <c r="X136" s="205"/>
      <c r="Y136" s="205"/>
    </row>
    <row r="137" spans="1:25" ht="15.75">
      <c r="A137" s="162"/>
      <c r="C137" s="162"/>
      <c r="D137" s="162"/>
      <c r="E137" s="162"/>
      <c r="F137" s="204"/>
      <c r="G137" s="204"/>
      <c r="H137" s="204"/>
      <c r="I137" s="204"/>
      <c r="J137" s="205"/>
      <c r="T137" s="204"/>
      <c r="U137" s="206"/>
      <c r="W137" s="205"/>
      <c r="X137" s="205"/>
      <c r="Y137" s="205"/>
    </row>
    <row r="138" spans="1:25" ht="15.75">
      <c r="A138" s="162"/>
      <c r="C138" s="162"/>
      <c r="D138" s="162"/>
      <c r="E138" s="162"/>
      <c r="F138" s="204"/>
      <c r="G138" s="204"/>
      <c r="H138" s="204"/>
      <c r="I138" s="204"/>
      <c r="J138" s="205"/>
      <c r="T138" s="204"/>
      <c r="U138" s="206"/>
      <c r="W138" s="205"/>
      <c r="X138" s="205"/>
      <c r="Y138" s="205"/>
    </row>
    <row r="139" spans="1:25" ht="15.75">
      <c r="A139" s="162"/>
      <c r="C139" s="162"/>
      <c r="D139" s="162"/>
      <c r="E139" s="162"/>
      <c r="F139" s="204"/>
      <c r="G139" s="204"/>
      <c r="H139" s="204"/>
      <c r="I139" s="204"/>
      <c r="J139" s="205"/>
      <c r="T139" s="204"/>
      <c r="U139" s="206"/>
      <c r="W139" s="205"/>
      <c r="X139" s="205"/>
      <c r="Y139" s="205"/>
    </row>
    <row r="140" spans="1:25" ht="15.75">
      <c r="A140" s="162"/>
      <c r="C140" s="162"/>
      <c r="D140" s="162"/>
      <c r="E140" s="162"/>
      <c r="F140" s="204"/>
      <c r="G140" s="204"/>
      <c r="H140" s="204"/>
      <c r="I140" s="204"/>
      <c r="J140" s="205"/>
      <c r="T140" s="204"/>
      <c r="U140" s="206"/>
      <c r="W140" s="205"/>
      <c r="X140" s="205"/>
      <c r="Y140" s="205"/>
    </row>
    <row r="141" spans="1:25" ht="15.75">
      <c r="A141" s="162"/>
      <c r="C141" s="162"/>
      <c r="D141" s="162"/>
      <c r="E141" s="162"/>
      <c r="F141" s="204"/>
      <c r="G141" s="204"/>
      <c r="H141" s="204"/>
      <c r="I141" s="204"/>
      <c r="J141" s="205"/>
      <c r="T141" s="204"/>
      <c r="U141" s="206"/>
      <c r="W141" s="205"/>
      <c r="X141" s="205"/>
      <c r="Y141" s="205"/>
    </row>
    <row r="142" spans="1:25" ht="15.75">
      <c r="A142" s="162"/>
      <c r="C142" s="162"/>
      <c r="D142" s="162"/>
      <c r="E142" s="162"/>
      <c r="F142" s="204"/>
      <c r="G142" s="204"/>
      <c r="H142" s="204"/>
      <c r="I142" s="204"/>
      <c r="J142" s="205"/>
      <c r="T142" s="204"/>
      <c r="U142" s="206"/>
      <c r="W142" s="205"/>
      <c r="X142" s="205"/>
      <c r="Y142" s="205"/>
    </row>
    <row r="143" spans="1:25" ht="15.75">
      <c r="A143" s="162"/>
      <c r="C143" s="162"/>
      <c r="D143" s="162"/>
      <c r="E143" s="162"/>
      <c r="F143" s="204"/>
      <c r="G143" s="204"/>
      <c r="H143" s="204"/>
      <c r="I143" s="204"/>
      <c r="J143" s="205"/>
      <c r="T143" s="204"/>
      <c r="U143" s="206"/>
      <c r="W143" s="205"/>
      <c r="X143" s="205"/>
      <c r="Y143" s="205"/>
    </row>
    <row r="144" spans="1:25" ht="15.75">
      <c r="A144" s="162"/>
      <c r="C144" s="162"/>
      <c r="D144" s="162"/>
      <c r="E144" s="162"/>
      <c r="F144" s="204"/>
      <c r="G144" s="204"/>
      <c r="H144" s="204"/>
      <c r="I144" s="204"/>
      <c r="J144" s="205"/>
      <c r="T144" s="204"/>
      <c r="U144" s="206"/>
      <c r="W144" s="205"/>
      <c r="X144" s="205"/>
      <c r="Y144" s="205"/>
    </row>
    <row r="145" spans="1:25" ht="15.75">
      <c r="A145" s="162"/>
      <c r="C145" s="162"/>
      <c r="D145" s="162"/>
      <c r="E145" s="162"/>
      <c r="F145" s="204"/>
      <c r="G145" s="204"/>
      <c r="H145" s="204"/>
      <c r="I145" s="204"/>
      <c r="J145" s="205"/>
      <c r="T145" s="204"/>
      <c r="U145" s="206"/>
      <c r="W145" s="205"/>
      <c r="X145" s="205"/>
      <c r="Y145" s="205"/>
    </row>
    <row r="146" spans="1:25" ht="15.75">
      <c r="A146" s="162"/>
      <c r="C146" s="162"/>
      <c r="D146" s="162"/>
      <c r="E146" s="162"/>
      <c r="F146" s="204"/>
      <c r="G146" s="204"/>
      <c r="H146" s="204"/>
      <c r="I146" s="204"/>
      <c r="J146" s="205"/>
      <c r="T146" s="204"/>
      <c r="U146" s="206"/>
      <c r="W146" s="205"/>
      <c r="X146" s="205"/>
      <c r="Y146" s="205"/>
    </row>
    <row r="147" spans="1:25" ht="15.75">
      <c r="A147" s="162"/>
      <c r="C147" s="162"/>
      <c r="D147" s="162"/>
      <c r="E147" s="162"/>
      <c r="F147" s="204"/>
      <c r="G147" s="204"/>
      <c r="H147" s="204"/>
      <c r="I147" s="204"/>
      <c r="J147" s="205"/>
      <c r="T147" s="204"/>
      <c r="U147" s="206"/>
      <c r="W147" s="205"/>
      <c r="X147" s="205"/>
      <c r="Y147" s="205"/>
    </row>
    <row r="148" spans="1:25" ht="15.75">
      <c r="A148" s="162"/>
      <c r="C148" s="162"/>
      <c r="D148" s="162"/>
      <c r="E148" s="162"/>
      <c r="F148" s="204"/>
      <c r="G148" s="204"/>
      <c r="H148" s="204"/>
      <c r="I148" s="204"/>
      <c r="J148" s="205"/>
      <c r="T148" s="204"/>
      <c r="U148" s="206"/>
      <c r="W148" s="205"/>
      <c r="X148" s="205"/>
      <c r="Y148" s="205"/>
    </row>
    <row r="149" spans="1:25" ht="15.75">
      <c r="A149" s="162"/>
      <c r="C149" s="162"/>
      <c r="D149" s="162"/>
      <c r="E149" s="162"/>
      <c r="F149" s="204"/>
      <c r="G149" s="204"/>
      <c r="H149" s="204"/>
      <c r="I149" s="204"/>
      <c r="J149" s="205"/>
      <c r="T149" s="204"/>
      <c r="U149" s="206"/>
      <c r="W149" s="205"/>
      <c r="X149" s="205"/>
      <c r="Y149" s="205"/>
    </row>
    <row r="150" spans="1:25" ht="15.75">
      <c r="A150" s="162"/>
      <c r="C150" s="162"/>
      <c r="D150" s="162"/>
      <c r="E150" s="162"/>
      <c r="F150" s="204"/>
      <c r="G150" s="204"/>
      <c r="H150" s="204"/>
      <c r="I150" s="204"/>
      <c r="J150" s="205"/>
      <c r="T150" s="204"/>
      <c r="U150" s="206"/>
      <c r="W150" s="205"/>
      <c r="X150" s="205"/>
      <c r="Y150" s="205"/>
    </row>
    <row r="151" spans="1:25" ht="15.75">
      <c r="A151" s="162"/>
      <c r="C151" s="162"/>
      <c r="D151" s="162"/>
      <c r="E151" s="162"/>
      <c r="F151" s="204"/>
      <c r="G151" s="204"/>
      <c r="H151" s="204"/>
      <c r="I151" s="204"/>
      <c r="J151" s="205"/>
      <c r="T151" s="204"/>
      <c r="U151" s="206"/>
      <c r="W151" s="205"/>
      <c r="X151" s="205"/>
      <c r="Y151" s="205"/>
    </row>
    <row r="152" spans="1:25" ht="15.75">
      <c r="A152" s="162"/>
      <c r="C152" s="162"/>
      <c r="D152" s="162"/>
      <c r="E152" s="162"/>
      <c r="F152" s="204"/>
      <c r="G152" s="204"/>
      <c r="H152" s="204"/>
      <c r="I152" s="204"/>
      <c r="J152" s="205"/>
      <c r="T152" s="204"/>
      <c r="U152" s="206"/>
      <c r="W152" s="205"/>
      <c r="X152" s="205"/>
      <c r="Y152" s="205"/>
    </row>
    <row r="153" spans="1:25" ht="15.75">
      <c r="A153" s="162"/>
      <c r="C153" s="162"/>
      <c r="D153" s="162"/>
      <c r="E153" s="162"/>
      <c r="F153" s="204"/>
      <c r="G153" s="204"/>
      <c r="H153" s="204"/>
      <c r="I153" s="204"/>
      <c r="J153" s="205"/>
      <c r="T153" s="204"/>
      <c r="U153" s="206"/>
      <c r="W153" s="205"/>
      <c r="X153" s="205"/>
      <c r="Y153" s="205"/>
    </row>
    <row r="154" spans="1:25" ht="15.75">
      <c r="A154" s="162"/>
      <c r="C154" s="162"/>
      <c r="D154" s="162"/>
      <c r="E154" s="162"/>
      <c r="F154" s="204"/>
      <c r="G154" s="204"/>
      <c r="H154" s="204"/>
      <c r="I154" s="204"/>
      <c r="J154" s="205"/>
      <c r="T154" s="204"/>
      <c r="U154" s="206"/>
      <c r="W154" s="205"/>
      <c r="X154" s="205"/>
      <c r="Y154" s="205"/>
    </row>
    <row r="155" spans="1:25" ht="15.75">
      <c r="A155" s="162"/>
      <c r="C155" s="162"/>
      <c r="D155" s="162"/>
      <c r="E155" s="162"/>
      <c r="F155" s="204"/>
      <c r="G155" s="204"/>
      <c r="H155" s="204"/>
      <c r="I155" s="204"/>
      <c r="J155" s="205"/>
      <c r="T155" s="204"/>
      <c r="U155" s="206"/>
      <c r="W155" s="205"/>
      <c r="X155" s="205"/>
      <c r="Y155" s="205"/>
    </row>
    <row r="156" spans="1:25" ht="15.75">
      <c r="A156" s="162"/>
      <c r="C156" s="162"/>
      <c r="D156" s="162"/>
      <c r="E156" s="162"/>
      <c r="F156" s="204"/>
      <c r="G156" s="204"/>
      <c r="H156" s="204"/>
      <c r="I156" s="204"/>
      <c r="J156" s="205"/>
      <c r="T156" s="204"/>
      <c r="U156" s="206"/>
      <c r="W156" s="205"/>
      <c r="X156" s="205"/>
      <c r="Y156" s="205"/>
    </row>
    <row r="157" spans="1:25" ht="15.75">
      <c r="A157" s="162"/>
      <c r="C157" s="162"/>
      <c r="D157" s="162"/>
      <c r="E157" s="162"/>
      <c r="F157" s="204"/>
      <c r="G157" s="204"/>
      <c r="H157" s="204"/>
      <c r="I157" s="204"/>
      <c r="J157" s="205"/>
      <c r="T157" s="204"/>
      <c r="U157" s="206"/>
      <c r="W157" s="205"/>
      <c r="X157" s="205"/>
      <c r="Y157" s="205"/>
    </row>
    <row r="158" spans="1:25" ht="15.75">
      <c r="A158" s="162"/>
      <c r="C158" s="162"/>
      <c r="D158" s="162"/>
      <c r="E158" s="162"/>
      <c r="F158" s="204"/>
      <c r="G158" s="204"/>
      <c r="H158" s="204"/>
      <c r="I158" s="204"/>
      <c r="J158" s="205"/>
      <c r="T158" s="204"/>
      <c r="U158" s="206"/>
      <c r="W158" s="205"/>
      <c r="X158" s="205"/>
      <c r="Y158" s="205"/>
    </row>
    <row r="159" spans="1:25" ht="15.75">
      <c r="A159" s="162"/>
      <c r="C159" s="162"/>
      <c r="D159" s="162"/>
      <c r="E159" s="162"/>
      <c r="F159" s="204"/>
      <c r="G159" s="204"/>
      <c r="H159" s="204"/>
      <c r="I159" s="204"/>
      <c r="J159" s="205"/>
      <c r="T159" s="204"/>
      <c r="U159" s="206"/>
      <c r="W159" s="205"/>
      <c r="X159" s="205"/>
      <c r="Y159" s="205"/>
    </row>
    <row r="160" spans="1:25" ht="15.75">
      <c r="A160" s="162"/>
      <c r="C160" s="162"/>
      <c r="D160" s="162"/>
      <c r="E160" s="162"/>
      <c r="F160" s="204"/>
      <c r="G160" s="204"/>
      <c r="H160" s="204"/>
      <c r="I160" s="204"/>
      <c r="J160" s="205"/>
      <c r="T160" s="204"/>
      <c r="U160" s="206"/>
      <c r="W160" s="205"/>
      <c r="X160" s="205"/>
      <c r="Y160" s="205"/>
    </row>
    <row r="161" spans="1:25" ht="15.75">
      <c r="A161" s="162"/>
      <c r="C161" s="162"/>
      <c r="D161" s="162"/>
      <c r="E161" s="162"/>
      <c r="F161" s="204"/>
      <c r="G161" s="204"/>
      <c r="H161" s="204"/>
      <c r="I161" s="204"/>
      <c r="J161" s="205"/>
      <c r="T161" s="204"/>
      <c r="U161" s="206"/>
      <c r="W161" s="205"/>
      <c r="X161" s="205"/>
      <c r="Y161" s="205"/>
    </row>
    <row r="162" spans="1:25" ht="15.75">
      <c r="A162" s="162"/>
      <c r="C162" s="162"/>
      <c r="D162" s="162"/>
      <c r="E162" s="162"/>
      <c r="F162" s="204"/>
      <c r="G162" s="204"/>
      <c r="H162" s="204"/>
      <c r="I162" s="204"/>
      <c r="J162" s="205"/>
      <c r="T162" s="204"/>
      <c r="U162" s="206"/>
      <c r="W162" s="205"/>
      <c r="X162" s="205"/>
      <c r="Y162" s="205"/>
    </row>
    <row r="163" spans="1:25" ht="15.75">
      <c r="A163" s="162"/>
      <c r="C163" s="162"/>
      <c r="D163" s="162"/>
      <c r="E163" s="162"/>
      <c r="F163" s="204"/>
      <c r="G163" s="204"/>
      <c r="H163" s="204"/>
      <c r="I163" s="204"/>
      <c r="J163" s="205"/>
      <c r="T163" s="204"/>
      <c r="U163" s="206"/>
      <c r="W163" s="205"/>
      <c r="X163" s="205"/>
      <c r="Y163" s="205"/>
    </row>
    <row r="164" spans="1:25" ht="15.75">
      <c r="A164" s="162"/>
      <c r="C164" s="162"/>
      <c r="D164" s="162"/>
      <c r="E164" s="162"/>
      <c r="F164" s="204"/>
      <c r="G164" s="204"/>
      <c r="H164" s="204"/>
      <c r="I164" s="204"/>
      <c r="J164" s="205"/>
      <c r="T164" s="204"/>
      <c r="U164" s="206"/>
      <c r="W164" s="205"/>
      <c r="X164" s="205"/>
      <c r="Y164" s="205"/>
    </row>
    <row r="165" spans="1:25" ht="15.75">
      <c r="A165" s="162"/>
      <c r="C165" s="162"/>
      <c r="D165" s="162"/>
      <c r="E165" s="162"/>
      <c r="F165" s="204"/>
      <c r="G165" s="204"/>
      <c r="H165" s="204"/>
      <c r="I165" s="204"/>
      <c r="J165" s="205"/>
      <c r="T165" s="204"/>
      <c r="U165" s="206"/>
      <c r="W165" s="205"/>
      <c r="X165" s="205"/>
      <c r="Y165" s="205"/>
    </row>
    <row r="166" spans="1:25" ht="15.75">
      <c r="A166" s="162"/>
      <c r="C166" s="162"/>
      <c r="D166" s="162"/>
      <c r="E166" s="162"/>
      <c r="F166" s="204"/>
      <c r="G166" s="204"/>
      <c r="H166" s="204"/>
      <c r="I166" s="204"/>
      <c r="J166" s="205"/>
      <c r="T166" s="204"/>
      <c r="U166" s="206"/>
      <c r="W166" s="205"/>
      <c r="X166" s="205"/>
      <c r="Y166" s="205"/>
    </row>
    <row r="167" spans="1:25" ht="15.75">
      <c r="A167" s="162"/>
      <c r="C167" s="162"/>
      <c r="D167" s="162"/>
      <c r="E167" s="162"/>
      <c r="F167" s="204"/>
      <c r="G167" s="204"/>
      <c r="H167" s="204"/>
      <c r="I167" s="204"/>
      <c r="J167" s="205"/>
      <c r="T167" s="204"/>
      <c r="U167" s="206"/>
      <c r="W167" s="205"/>
      <c r="X167" s="205"/>
      <c r="Y167" s="205"/>
    </row>
    <row r="168" spans="1:25" ht="15.75">
      <c r="A168" s="162"/>
      <c r="C168" s="162"/>
      <c r="D168" s="162"/>
      <c r="E168" s="162"/>
      <c r="F168" s="204"/>
      <c r="G168" s="204"/>
      <c r="H168" s="204"/>
      <c r="I168" s="204"/>
      <c r="J168" s="205"/>
      <c r="T168" s="204"/>
      <c r="U168" s="206"/>
      <c r="W168" s="205"/>
      <c r="X168" s="205"/>
      <c r="Y168" s="205"/>
    </row>
    <row r="169" spans="1:25" ht="15.75">
      <c r="A169" s="162"/>
      <c r="C169" s="162"/>
      <c r="D169" s="162"/>
      <c r="E169" s="162"/>
      <c r="F169" s="204"/>
      <c r="G169" s="204"/>
      <c r="H169" s="204"/>
      <c r="I169" s="204"/>
      <c r="J169" s="205"/>
      <c r="T169" s="204"/>
      <c r="U169" s="206"/>
      <c r="W169" s="205"/>
      <c r="X169" s="205"/>
      <c r="Y169" s="205"/>
    </row>
    <row r="170" spans="1:25" ht="15.75">
      <c r="A170" s="162"/>
      <c r="C170" s="162"/>
      <c r="D170" s="162"/>
      <c r="E170" s="162"/>
      <c r="F170" s="204"/>
      <c r="G170" s="204"/>
      <c r="H170" s="204"/>
      <c r="I170" s="204"/>
      <c r="J170" s="205"/>
      <c r="T170" s="204"/>
      <c r="U170" s="206"/>
      <c r="W170" s="205"/>
      <c r="X170" s="205"/>
      <c r="Y170" s="205"/>
    </row>
    <row r="171" spans="1:25" ht="15.75">
      <c r="A171" s="162"/>
      <c r="C171" s="162"/>
      <c r="D171" s="162"/>
      <c r="E171" s="162"/>
      <c r="F171" s="204"/>
      <c r="G171" s="204"/>
      <c r="H171" s="204"/>
      <c r="I171" s="204"/>
      <c r="J171" s="205"/>
      <c r="T171" s="204"/>
      <c r="U171" s="206"/>
      <c r="W171" s="205"/>
      <c r="X171" s="205"/>
      <c r="Y171" s="205"/>
    </row>
    <row r="172" spans="1:25" ht="15.75">
      <c r="A172" s="162"/>
      <c r="C172" s="162"/>
      <c r="D172" s="162"/>
      <c r="E172" s="162"/>
      <c r="F172" s="204"/>
      <c r="G172" s="204"/>
      <c r="H172" s="204"/>
      <c r="I172" s="204"/>
      <c r="J172" s="205"/>
      <c r="T172" s="204"/>
      <c r="U172" s="206"/>
      <c r="W172" s="205"/>
      <c r="X172" s="205"/>
      <c r="Y172" s="205"/>
    </row>
    <row r="173" spans="1:25" ht="15.75">
      <c r="A173" s="162"/>
      <c r="C173" s="162"/>
      <c r="D173" s="162"/>
      <c r="E173" s="162"/>
      <c r="F173" s="204"/>
      <c r="G173" s="204"/>
      <c r="H173" s="204"/>
      <c r="I173" s="204"/>
      <c r="J173" s="205"/>
      <c r="T173" s="204"/>
      <c r="U173" s="206"/>
      <c r="W173" s="205"/>
      <c r="X173" s="205"/>
      <c r="Y173" s="205"/>
    </row>
    <row r="174" spans="1:25" ht="15.75">
      <c r="A174" s="162"/>
      <c r="C174" s="162"/>
      <c r="D174" s="162"/>
      <c r="E174" s="162"/>
      <c r="F174" s="204"/>
      <c r="G174" s="204"/>
      <c r="H174" s="204"/>
      <c r="I174" s="204"/>
      <c r="J174" s="205"/>
      <c r="T174" s="204"/>
      <c r="U174" s="206"/>
      <c r="W174" s="205"/>
      <c r="X174" s="205"/>
      <c r="Y174" s="205"/>
    </row>
    <row r="175" spans="1:25" ht="15.75">
      <c r="A175" s="162"/>
      <c r="C175" s="162"/>
      <c r="D175" s="162"/>
      <c r="E175" s="162"/>
      <c r="F175" s="204"/>
      <c r="G175" s="204"/>
      <c r="H175" s="204"/>
      <c r="I175" s="204"/>
      <c r="J175" s="205"/>
      <c r="T175" s="204"/>
      <c r="U175" s="206"/>
      <c r="W175" s="205"/>
      <c r="X175" s="205"/>
      <c r="Y175" s="205"/>
    </row>
    <row r="176" spans="1:25" ht="15.75">
      <c r="A176" s="162"/>
      <c r="C176" s="162"/>
      <c r="D176" s="162"/>
      <c r="E176" s="162"/>
      <c r="F176" s="204"/>
      <c r="G176" s="204"/>
      <c r="H176" s="204"/>
      <c r="I176" s="204"/>
      <c r="J176" s="205"/>
      <c r="T176" s="204"/>
      <c r="U176" s="206"/>
      <c r="W176" s="205"/>
      <c r="X176" s="205"/>
      <c r="Y176" s="205"/>
    </row>
    <row r="177" spans="1:25" ht="15.75">
      <c r="A177" s="162"/>
      <c r="C177" s="162"/>
      <c r="D177" s="162"/>
      <c r="E177" s="162"/>
      <c r="F177" s="204"/>
      <c r="G177" s="204"/>
      <c r="H177" s="204"/>
      <c r="I177" s="204"/>
      <c r="J177" s="205"/>
      <c r="T177" s="204"/>
      <c r="U177" s="206"/>
      <c r="W177" s="205"/>
      <c r="X177" s="205"/>
      <c r="Y177" s="205"/>
    </row>
    <row r="178" spans="1:25" ht="15.75">
      <c r="A178" s="162"/>
      <c r="C178" s="162"/>
      <c r="D178" s="162"/>
      <c r="E178" s="162"/>
      <c r="F178" s="204"/>
      <c r="G178" s="204"/>
      <c r="H178" s="204"/>
      <c r="I178" s="204"/>
      <c r="J178" s="205"/>
      <c r="T178" s="204"/>
      <c r="U178" s="206"/>
      <c r="W178" s="205"/>
      <c r="X178" s="205"/>
      <c r="Y178" s="205"/>
    </row>
    <row r="179" spans="1:25" ht="15.75">
      <c r="A179" s="162"/>
      <c r="C179" s="162"/>
      <c r="D179" s="162"/>
      <c r="E179" s="162"/>
      <c r="F179" s="204"/>
      <c r="G179" s="204"/>
      <c r="H179" s="204"/>
      <c r="I179" s="204"/>
      <c r="J179" s="205"/>
      <c r="T179" s="204"/>
      <c r="U179" s="206"/>
      <c r="W179" s="205"/>
      <c r="X179" s="205"/>
      <c r="Y179" s="205"/>
    </row>
    <row r="180" spans="1:25" ht="15.75">
      <c r="A180" s="162"/>
      <c r="C180" s="162"/>
      <c r="D180" s="162"/>
      <c r="E180" s="162"/>
      <c r="F180" s="204"/>
      <c r="G180" s="204"/>
      <c r="H180" s="204"/>
      <c r="I180" s="204"/>
      <c r="J180" s="205"/>
      <c r="T180" s="204"/>
      <c r="U180" s="206"/>
      <c r="W180" s="205"/>
      <c r="X180" s="205"/>
      <c r="Y180" s="205"/>
    </row>
    <row r="181" spans="1:25" ht="15.75">
      <c r="A181" s="162"/>
      <c r="C181" s="162"/>
      <c r="D181" s="162"/>
      <c r="E181" s="162"/>
      <c r="F181" s="204"/>
      <c r="G181" s="204"/>
      <c r="H181" s="204"/>
      <c r="I181" s="204"/>
      <c r="J181" s="205"/>
      <c r="T181" s="204"/>
      <c r="U181" s="206"/>
      <c r="W181" s="205"/>
      <c r="X181" s="205"/>
      <c r="Y181" s="205"/>
    </row>
    <row r="182" spans="1:25" ht="15.75">
      <c r="A182" s="162"/>
      <c r="C182" s="162"/>
      <c r="D182" s="162"/>
      <c r="E182" s="162"/>
      <c r="F182" s="204"/>
      <c r="G182" s="204"/>
      <c r="H182" s="204"/>
      <c r="I182" s="204"/>
      <c r="J182" s="205"/>
      <c r="T182" s="204"/>
      <c r="U182" s="206"/>
      <c r="W182" s="205"/>
      <c r="X182" s="205"/>
      <c r="Y182" s="205"/>
    </row>
    <row r="183" spans="1:25" ht="15.75">
      <c r="A183" s="162"/>
      <c r="C183" s="162"/>
      <c r="D183" s="162"/>
      <c r="E183" s="162"/>
      <c r="F183" s="204"/>
      <c r="G183" s="204"/>
      <c r="H183" s="204"/>
      <c r="I183" s="204"/>
      <c r="J183" s="205"/>
      <c r="T183" s="204"/>
      <c r="U183" s="206"/>
      <c r="W183" s="205"/>
      <c r="X183" s="205"/>
      <c r="Y183" s="205"/>
    </row>
    <row r="184" spans="1:25" ht="15.75">
      <c r="A184" s="162"/>
      <c r="C184" s="162"/>
      <c r="D184" s="162"/>
      <c r="E184" s="162"/>
      <c r="F184" s="204"/>
      <c r="G184" s="204"/>
      <c r="H184" s="204"/>
      <c r="I184" s="204"/>
      <c r="J184" s="205"/>
      <c r="T184" s="204"/>
      <c r="U184" s="206"/>
      <c r="W184" s="205"/>
      <c r="X184" s="205"/>
      <c r="Y184" s="205"/>
    </row>
    <row r="185" spans="1:25" ht="15.75">
      <c r="A185" s="162"/>
      <c r="C185" s="162"/>
      <c r="D185" s="162"/>
      <c r="E185" s="162"/>
      <c r="F185" s="204"/>
      <c r="G185" s="204"/>
      <c r="H185" s="204"/>
      <c r="I185" s="204"/>
      <c r="J185" s="205"/>
      <c r="T185" s="204"/>
      <c r="U185" s="206"/>
      <c r="W185" s="205"/>
      <c r="X185" s="205"/>
      <c r="Y185" s="205"/>
    </row>
    <row r="186" spans="1:25" ht="15.75">
      <c r="A186" s="162"/>
      <c r="C186" s="162"/>
      <c r="D186" s="162"/>
      <c r="E186" s="162"/>
      <c r="F186" s="204"/>
      <c r="G186" s="204"/>
      <c r="H186" s="204"/>
      <c r="I186" s="204"/>
      <c r="J186" s="205"/>
      <c r="T186" s="204"/>
      <c r="U186" s="206"/>
      <c r="W186" s="205"/>
      <c r="X186" s="205"/>
      <c r="Y186" s="205"/>
    </row>
    <row r="187" spans="1:25" ht="15.75">
      <c r="A187" s="162"/>
      <c r="C187" s="162"/>
      <c r="D187" s="162"/>
      <c r="E187" s="162"/>
      <c r="F187" s="204"/>
      <c r="G187" s="204"/>
      <c r="H187" s="204"/>
      <c r="I187" s="204"/>
      <c r="J187" s="205"/>
      <c r="T187" s="204"/>
      <c r="U187" s="206"/>
      <c r="W187" s="205"/>
      <c r="X187" s="205"/>
      <c r="Y187" s="205"/>
    </row>
    <row r="188" spans="1:25" ht="15.75">
      <c r="A188" s="162"/>
      <c r="C188" s="162"/>
      <c r="D188" s="162"/>
      <c r="E188" s="162"/>
      <c r="F188" s="204"/>
      <c r="G188" s="204"/>
      <c r="H188" s="204"/>
      <c r="I188" s="204"/>
      <c r="J188" s="205"/>
      <c r="T188" s="204"/>
      <c r="U188" s="206"/>
      <c r="W188" s="205"/>
      <c r="X188" s="205"/>
      <c r="Y188" s="205"/>
    </row>
    <row r="189" spans="1:25" ht="15.75">
      <c r="A189" s="162"/>
      <c r="C189" s="162"/>
      <c r="D189" s="162"/>
      <c r="E189" s="162"/>
      <c r="F189" s="204"/>
      <c r="G189" s="204"/>
      <c r="H189" s="204"/>
      <c r="I189" s="204"/>
      <c r="J189" s="205"/>
      <c r="T189" s="204"/>
      <c r="U189" s="206"/>
      <c r="W189" s="205"/>
      <c r="X189" s="205"/>
      <c r="Y189" s="205"/>
    </row>
  </sheetData>
  <sheetProtection/>
  <mergeCells count="5">
    <mergeCell ref="A2:V2"/>
    <mergeCell ref="A4:V4"/>
    <mergeCell ref="D68:E68"/>
    <mergeCell ref="P5:R5"/>
    <mergeCell ref="A3:V3"/>
  </mergeCells>
  <printOptions/>
  <pageMargins left="0.52" right="0.15748031496062992" top="0.4330708661417323" bottom="0.49" header="0.15748031496062992" footer="0.15748031496062992"/>
  <pageSetup fitToHeight="2" fitToWidth="1" horizontalDpi="300" verticalDpi="300" orientation="portrait" paperSize="9" scale="96" r:id="rId1"/>
  <rowBreaks count="1" manualBreakCount="1">
    <brk id="35" max="24" man="1"/>
  </rowBreaks>
</worksheet>
</file>

<file path=xl/worksheets/sheet2.xml><?xml version="1.0" encoding="utf-8"?>
<worksheet xmlns="http://schemas.openxmlformats.org/spreadsheetml/2006/main" xmlns:r="http://schemas.openxmlformats.org/officeDocument/2006/relationships">
  <dimension ref="A1:U123"/>
  <sheetViews>
    <sheetView zoomScaleSheetLayoutView="62" zoomScalePageLayoutView="0" workbookViewId="0" topLeftCell="A4">
      <selection activeCell="B3" sqref="B3"/>
    </sheetView>
  </sheetViews>
  <sheetFormatPr defaultColWidth="9.140625" defaultRowHeight="12.75"/>
  <cols>
    <col min="1" max="1" width="2.00390625" style="72" customWidth="1"/>
    <col min="2" max="2" width="6.7109375" style="141" customWidth="1"/>
    <col min="3" max="3" width="39.00390625" style="72" customWidth="1"/>
    <col min="4" max="4" width="7.140625" style="141" bestFit="1" customWidth="1"/>
    <col min="5" max="6" width="14.8515625" style="141" hidden="1" customWidth="1"/>
    <col min="7" max="7" width="14.00390625" style="72" bestFit="1" customWidth="1"/>
    <col min="8" max="8" width="13.28125" style="154" bestFit="1" customWidth="1"/>
    <col min="9" max="9" width="14.421875" style="72" customWidth="1"/>
    <col min="10" max="11" width="12.140625" style="143" hidden="1" customWidth="1"/>
    <col min="12" max="12" width="11.57421875" style="143" hidden="1" customWidth="1"/>
    <col min="13" max="13" width="10.140625" style="143" hidden="1" customWidth="1"/>
    <col min="14" max="14" width="9.28125" style="143" hidden="1" customWidth="1"/>
    <col min="15" max="15" width="11.00390625" style="143" hidden="1" customWidth="1"/>
    <col min="16" max="16" width="13.00390625" style="144" hidden="1" customWidth="1"/>
    <col min="17" max="17" width="7.140625" style="60" customWidth="1"/>
    <col min="18" max="18" width="58.00390625" style="148" hidden="1" customWidth="1"/>
    <col min="19" max="19" width="11.140625" style="72" hidden="1" customWidth="1"/>
    <col min="20" max="21" width="14.8515625" style="72" hidden="1" customWidth="1"/>
    <col min="22" max="16384" width="9.140625" style="72" customWidth="1"/>
  </cols>
  <sheetData>
    <row r="1" spans="2:19" ht="20.25">
      <c r="B1" s="352" t="s">
        <v>224</v>
      </c>
      <c r="C1" s="352"/>
      <c r="D1" s="352"/>
      <c r="E1" s="352"/>
      <c r="F1" s="352"/>
      <c r="G1" s="352"/>
      <c r="H1" s="352"/>
      <c r="I1" s="352"/>
      <c r="J1" s="352"/>
      <c r="K1" s="352"/>
      <c r="L1" s="352"/>
      <c r="M1" s="352"/>
      <c r="N1" s="352"/>
      <c r="O1" s="352"/>
      <c r="P1" s="352"/>
      <c r="Q1" s="352"/>
      <c r="R1" s="352"/>
      <c r="S1" s="134"/>
    </row>
    <row r="2" spans="1:19" ht="20.25">
      <c r="A2" s="72" t="s">
        <v>16</v>
      </c>
      <c r="B2" s="353">
        <v>40725</v>
      </c>
      <c r="C2" s="353"/>
      <c r="D2" s="353"/>
      <c r="E2" s="353"/>
      <c r="F2" s="353"/>
      <c r="G2" s="353"/>
      <c r="H2" s="353"/>
      <c r="I2" s="353"/>
      <c r="J2" s="353"/>
      <c r="K2" s="353"/>
      <c r="L2" s="353"/>
      <c r="M2" s="353"/>
      <c r="N2" s="353"/>
      <c r="O2" s="353"/>
      <c r="P2" s="353"/>
      <c r="Q2" s="353"/>
      <c r="R2" s="353"/>
      <c r="S2" s="134"/>
    </row>
    <row r="4" spans="2:21" s="135" customFormat="1" ht="42.75" customHeight="1">
      <c r="B4" s="81" t="s">
        <v>0</v>
      </c>
      <c r="C4" s="81" t="s">
        <v>1</v>
      </c>
      <c r="D4" s="81" t="s">
        <v>64</v>
      </c>
      <c r="E4" s="81" t="s">
        <v>152</v>
      </c>
      <c r="F4" s="81" t="s">
        <v>153</v>
      </c>
      <c r="G4" s="81" t="s">
        <v>65</v>
      </c>
      <c r="H4" s="56" t="s">
        <v>137</v>
      </c>
      <c r="I4" s="81" t="s">
        <v>2</v>
      </c>
      <c r="J4" s="82" t="s">
        <v>161</v>
      </c>
      <c r="K4" s="82" t="s">
        <v>157</v>
      </c>
      <c r="L4" s="82" t="s">
        <v>146</v>
      </c>
      <c r="M4" s="82" t="s">
        <v>143</v>
      </c>
      <c r="N4" s="82" t="s">
        <v>140</v>
      </c>
      <c r="O4" s="82" t="s">
        <v>214</v>
      </c>
      <c r="P4" s="83" t="s">
        <v>3</v>
      </c>
      <c r="Q4" s="56" t="s">
        <v>4</v>
      </c>
      <c r="R4" s="56" t="s">
        <v>5</v>
      </c>
      <c r="S4" s="213" t="s">
        <v>147</v>
      </c>
      <c r="T4" s="219" t="s">
        <v>148</v>
      </c>
      <c r="U4" s="213" t="s">
        <v>149</v>
      </c>
    </row>
    <row r="5" spans="2:21" s="135" customFormat="1" ht="12.75">
      <c r="B5" s="81"/>
      <c r="C5" s="81"/>
      <c r="D5" s="81"/>
      <c r="E5" s="81"/>
      <c r="F5" s="81"/>
      <c r="G5" s="81"/>
      <c r="H5" s="56"/>
      <c r="I5" s="81"/>
      <c r="J5" s="82"/>
      <c r="K5" s="82"/>
      <c r="L5" s="82"/>
      <c r="M5" s="82"/>
      <c r="N5" s="82"/>
      <c r="O5" s="82"/>
      <c r="P5" s="83"/>
      <c r="Q5" s="56"/>
      <c r="R5" s="56"/>
      <c r="S5" s="56"/>
      <c r="T5" s="56"/>
      <c r="U5" s="81"/>
    </row>
    <row r="6" spans="2:21" ht="12.75">
      <c r="B6" s="54">
        <v>1</v>
      </c>
      <c r="C6" s="61" t="s">
        <v>75</v>
      </c>
      <c r="D6" s="84"/>
      <c r="E6" s="84"/>
      <c r="F6" s="84"/>
      <c r="G6" s="104"/>
      <c r="H6" s="318"/>
      <c r="I6" s="104"/>
      <c r="J6" s="98"/>
      <c r="K6" s="98"/>
      <c r="L6" s="98"/>
      <c r="M6" s="98"/>
      <c r="N6" s="98"/>
      <c r="O6" s="98"/>
      <c r="P6" s="99"/>
      <c r="Q6" s="57"/>
      <c r="R6" s="131"/>
      <c r="S6" s="103"/>
      <c r="T6" s="103"/>
      <c r="U6" s="104"/>
    </row>
    <row r="7" spans="2:21" ht="38.25">
      <c r="B7" s="79"/>
      <c r="C7" s="62"/>
      <c r="D7" s="84"/>
      <c r="E7" s="224"/>
      <c r="F7" s="84"/>
      <c r="G7" s="97"/>
      <c r="H7" s="100">
        <f aca="true" t="shared" si="0" ref="H7:H12">G7-I7</f>
        <v>0</v>
      </c>
      <c r="I7" s="97"/>
      <c r="J7" s="98"/>
      <c r="K7" s="98"/>
      <c r="L7" s="98">
        <v>0</v>
      </c>
      <c r="M7" s="98"/>
      <c r="N7" s="98"/>
      <c r="O7" s="98">
        <v>73641</v>
      </c>
      <c r="P7" s="99">
        <v>40606</v>
      </c>
      <c r="Q7" s="57" t="s">
        <v>81</v>
      </c>
      <c r="R7" s="131" t="s">
        <v>207</v>
      </c>
      <c r="S7" s="97">
        <v>0</v>
      </c>
      <c r="T7" s="221">
        <v>0</v>
      </c>
      <c r="U7" s="97">
        <f aca="true" t="shared" si="1" ref="U7:U12">G7-T7</f>
        <v>0</v>
      </c>
    </row>
    <row r="8" spans="2:21" ht="25.5">
      <c r="B8" s="79"/>
      <c r="C8" s="62"/>
      <c r="D8" s="84"/>
      <c r="E8" s="224"/>
      <c r="F8" s="84"/>
      <c r="G8" s="100"/>
      <c r="H8" s="100">
        <f t="shared" si="0"/>
        <v>0</v>
      </c>
      <c r="I8" s="97"/>
      <c r="J8" s="98">
        <v>-151114</v>
      </c>
      <c r="K8" s="98"/>
      <c r="L8" s="98">
        <v>0</v>
      </c>
      <c r="M8" s="98"/>
      <c r="N8" s="98"/>
      <c r="O8" s="98"/>
      <c r="P8" s="99">
        <v>40633</v>
      </c>
      <c r="Q8" s="57" t="s">
        <v>81</v>
      </c>
      <c r="R8" s="131" t="s">
        <v>208</v>
      </c>
      <c r="S8" s="97">
        <v>0</v>
      </c>
      <c r="T8" s="221">
        <v>0</v>
      </c>
      <c r="U8" s="97">
        <f t="shared" si="1"/>
        <v>0</v>
      </c>
    </row>
    <row r="9" spans="2:21" ht="25.5">
      <c r="B9" s="79"/>
      <c r="C9" s="52"/>
      <c r="D9" s="84"/>
      <c r="E9" s="224"/>
      <c r="F9" s="84"/>
      <c r="G9" s="97"/>
      <c r="H9" s="100">
        <f t="shared" si="0"/>
        <v>0</v>
      </c>
      <c r="I9" s="97"/>
      <c r="J9" s="98"/>
      <c r="K9" s="98"/>
      <c r="L9" s="98">
        <v>0</v>
      </c>
      <c r="M9" s="98"/>
      <c r="N9" s="98"/>
      <c r="O9" s="98">
        <v>-1000</v>
      </c>
      <c r="P9" s="99"/>
      <c r="Q9" s="57" t="s">
        <v>81</v>
      </c>
      <c r="R9" s="131" t="s">
        <v>209</v>
      </c>
      <c r="S9" s="97">
        <v>0</v>
      </c>
      <c r="T9" s="221">
        <v>0</v>
      </c>
      <c r="U9" s="97">
        <f t="shared" si="1"/>
        <v>0</v>
      </c>
    </row>
    <row r="10" spans="2:21" ht="12.75">
      <c r="B10" s="79"/>
      <c r="C10" s="63"/>
      <c r="D10" s="84"/>
      <c r="E10" s="224"/>
      <c r="F10" s="84"/>
      <c r="G10" s="97"/>
      <c r="H10" s="100">
        <f t="shared" si="0"/>
        <v>0</v>
      </c>
      <c r="I10" s="97"/>
      <c r="J10" s="98"/>
      <c r="K10" s="98">
        <v>-4000</v>
      </c>
      <c r="L10" s="98">
        <v>0</v>
      </c>
      <c r="M10" s="98"/>
      <c r="N10" s="98"/>
      <c r="O10" s="98"/>
      <c r="P10" s="99">
        <v>40465</v>
      </c>
      <c r="Q10" s="57" t="s">
        <v>81</v>
      </c>
      <c r="R10" s="131" t="s">
        <v>150</v>
      </c>
      <c r="S10" s="97">
        <v>0</v>
      </c>
      <c r="T10" s="221">
        <v>0</v>
      </c>
      <c r="U10" s="97">
        <f t="shared" si="1"/>
        <v>0</v>
      </c>
    </row>
    <row r="11" spans="2:21" ht="25.5">
      <c r="B11" s="79"/>
      <c r="C11" s="130"/>
      <c r="D11" s="84"/>
      <c r="E11" s="224"/>
      <c r="F11" s="84"/>
      <c r="G11" s="100"/>
      <c r="H11" s="100">
        <f t="shared" si="0"/>
        <v>0</v>
      </c>
      <c r="I11" s="97"/>
      <c r="J11" s="98">
        <v>-179265</v>
      </c>
      <c r="K11" s="98"/>
      <c r="L11" s="98">
        <v>0</v>
      </c>
      <c r="M11" s="98"/>
      <c r="N11" s="98"/>
      <c r="O11" s="98"/>
      <c r="P11" s="99">
        <v>40633</v>
      </c>
      <c r="Q11" s="57" t="s">
        <v>81</v>
      </c>
      <c r="R11" s="131" t="s">
        <v>210</v>
      </c>
      <c r="S11" s="97">
        <v>0</v>
      </c>
      <c r="T11" s="221">
        <v>0</v>
      </c>
      <c r="U11" s="97">
        <f t="shared" si="1"/>
        <v>0</v>
      </c>
    </row>
    <row r="12" spans="2:21" ht="25.5">
      <c r="B12" s="79"/>
      <c r="C12" s="64"/>
      <c r="D12" s="84"/>
      <c r="E12" s="224"/>
      <c r="F12" s="84"/>
      <c r="G12" s="100"/>
      <c r="H12" s="100">
        <f t="shared" si="0"/>
        <v>0</v>
      </c>
      <c r="I12" s="100"/>
      <c r="J12" s="98"/>
      <c r="K12" s="98"/>
      <c r="L12" s="98">
        <v>0</v>
      </c>
      <c r="M12" s="98"/>
      <c r="N12" s="98"/>
      <c r="O12" s="98">
        <v>4977</v>
      </c>
      <c r="P12" s="99">
        <v>40633</v>
      </c>
      <c r="Q12" s="57" t="s">
        <v>81</v>
      </c>
      <c r="R12" s="131" t="s">
        <v>211</v>
      </c>
      <c r="S12" s="100">
        <v>0</v>
      </c>
      <c r="T12" s="221">
        <v>0</v>
      </c>
      <c r="U12" s="97">
        <f t="shared" si="1"/>
        <v>0</v>
      </c>
    </row>
    <row r="13" spans="2:21" ht="12.75">
      <c r="B13" s="74"/>
      <c r="C13" s="52"/>
      <c r="D13" s="84"/>
      <c r="E13" s="84"/>
      <c r="F13" s="84"/>
      <c r="G13" s="101">
        <f>SUM(G7:G12)</f>
        <v>0</v>
      </c>
      <c r="H13" s="101">
        <f>SUM(H7:H12)</f>
        <v>0</v>
      </c>
      <c r="I13" s="102">
        <f>SUM(I7:I12)</f>
        <v>0</v>
      </c>
      <c r="J13" s="98"/>
      <c r="K13" s="98"/>
      <c r="L13" s="98"/>
      <c r="M13" s="98"/>
      <c r="N13" s="98"/>
      <c r="O13" s="98"/>
      <c r="P13" s="99"/>
      <c r="Q13" s="57"/>
      <c r="R13" s="131"/>
      <c r="S13" s="101">
        <f>SUM(S7:S12)</f>
        <v>0</v>
      </c>
      <c r="T13" s="101">
        <f>SUM(T7:T12)</f>
        <v>0</v>
      </c>
      <c r="U13" s="102">
        <f>SUM(U7:U12)</f>
        <v>0</v>
      </c>
    </row>
    <row r="14" spans="2:21" ht="12.75">
      <c r="B14" s="74"/>
      <c r="C14" s="52"/>
      <c r="D14" s="84"/>
      <c r="E14" s="84"/>
      <c r="F14" s="84"/>
      <c r="G14" s="101"/>
      <c r="H14" s="101"/>
      <c r="I14" s="102"/>
      <c r="J14" s="98"/>
      <c r="K14" s="98"/>
      <c r="L14" s="98"/>
      <c r="M14" s="98"/>
      <c r="N14" s="98"/>
      <c r="O14" s="98"/>
      <c r="P14" s="99"/>
      <c r="Q14" s="57"/>
      <c r="R14" s="131"/>
      <c r="S14" s="101"/>
      <c r="T14" s="101"/>
      <c r="U14" s="102"/>
    </row>
    <row r="15" spans="2:21" ht="12.75">
      <c r="B15" s="54">
        <v>2</v>
      </c>
      <c r="C15" s="61" t="s">
        <v>91</v>
      </c>
      <c r="D15" s="84"/>
      <c r="E15" s="84"/>
      <c r="F15" s="84"/>
      <c r="G15" s="103"/>
      <c r="H15" s="318"/>
      <c r="I15" s="104"/>
      <c r="J15" s="98"/>
      <c r="K15" s="98"/>
      <c r="L15" s="98"/>
      <c r="M15" s="98"/>
      <c r="N15" s="98"/>
      <c r="O15" s="98"/>
      <c r="P15" s="99"/>
      <c r="Q15" s="57"/>
      <c r="R15" s="131"/>
      <c r="S15" s="103"/>
      <c r="T15" s="103"/>
      <c r="U15" s="104"/>
    </row>
    <row r="16" spans="2:21" ht="51">
      <c r="B16" s="77"/>
      <c r="C16" s="66"/>
      <c r="D16" s="84"/>
      <c r="E16" s="84"/>
      <c r="F16" s="224"/>
      <c r="G16" s="100"/>
      <c r="H16" s="100">
        <f aca="true" t="shared" si="2" ref="H16:H22">G16-I16</f>
        <v>0</v>
      </c>
      <c r="I16" s="97"/>
      <c r="J16" s="98"/>
      <c r="K16" s="98"/>
      <c r="L16" s="98"/>
      <c r="M16" s="98"/>
      <c r="N16" s="98"/>
      <c r="O16" s="98"/>
      <c r="P16" s="99"/>
      <c r="Q16" s="58" t="s">
        <v>77</v>
      </c>
      <c r="R16" s="131" t="s">
        <v>178</v>
      </c>
      <c r="S16" s="97">
        <v>0</v>
      </c>
      <c r="T16" s="221">
        <v>0</v>
      </c>
      <c r="U16" s="97">
        <f aca="true" t="shared" si="3" ref="U16:U30">G16-T16</f>
        <v>0</v>
      </c>
    </row>
    <row r="17" spans="2:21" ht="51">
      <c r="B17" s="77"/>
      <c r="C17" s="65"/>
      <c r="D17" s="84"/>
      <c r="E17" s="84"/>
      <c r="F17" s="224"/>
      <c r="G17" s="100"/>
      <c r="H17" s="100">
        <f t="shared" si="2"/>
        <v>0</v>
      </c>
      <c r="I17" s="97"/>
      <c r="J17" s="98">
        <v>0</v>
      </c>
      <c r="K17" s="98"/>
      <c r="L17" s="98"/>
      <c r="M17" s="98">
        <v>-145000</v>
      </c>
      <c r="N17" s="98">
        <v>-9630</v>
      </c>
      <c r="O17" s="98">
        <v>447637</v>
      </c>
      <c r="P17" s="136">
        <v>40525</v>
      </c>
      <c r="Q17" s="58" t="s">
        <v>77</v>
      </c>
      <c r="R17" s="131" t="s">
        <v>177</v>
      </c>
      <c r="S17" s="97">
        <v>0</v>
      </c>
      <c r="T17" s="221">
        <v>1970915</v>
      </c>
      <c r="U17" s="97">
        <f t="shared" si="3"/>
        <v>-1970915</v>
      </c>
    </row>
    <row r="18" spans="2:21" ht="12.75">
      <c r="B18" s="77"/>
      <c r="C18" s="64"/>
      <c r="D18" s="84"/>
      <c r="E18" s="84"/>
      <c r="F18" s="224"/>
      <c r="G18" s="100"/>
      <c r="H18" s="100">
        <f t="shared" si="2"/>
        <v>0</v>
      </c>
      <c r="I18" s="100"/>
      <c r="J18" s="98"/>
      <c r="K18" s="98"/>
      <c r="L18" s="98"/>
      <c r="M18" s="98"/>
      <c r="N18" s="98"/>
      <c r="O18" s="98"/>
      <c r="P18" s="99"/>
      <c r="Q18" s="133" t="s">
        <v>77</v>
      </c>
      <c r="R18" s="131" t="s">
        <v>138</v>
      </c>
      <c r="S18" s="100">
        <v>0</v>
      </c>
      <c r="T18" s="100">
        <v>0</v>
      </c>
      <c r="U18" s="97">
        <f t="shared" si="3"/>
        <v>0</v>
      </c>
    </row>
    <row r="19" spans="2:21" ht="63.75">
      <c r="B19" s="77"/>
      <c r="C19" s="67"/>
      <c r="D19" s="84"/>
      <c r="E19" s="84"/>
      <c r="F19" s="224"/>
      <c r="G19" s="100"/>
      <c r="H19" s="100">
        <f t="shared" si="2"/>
        <v>0</v>
      </c>
      <c r="I19" s="97"/>
      <c r="J19" s="98">
        <v>0</v>
      </c>
      <c r="K19" s="98"/>
      <c r="L19" s="98"/>
      <c r="M19" s="98"/>
      <c r="N19" s="98"/>
      <c r="O19" s="98">
        <v>48894</v>
      </c>
      <c r="P19" s="136">
        <v>40598</v>
      </c>
      <c r="Q19" s="58" t="s">
        <v>77</v>
      </c>
      <c r="R19" s="131" t="s">
        <v>179</v>
      </c>
      <c r="S19" s="97">
        <v>0</v>
      </c>
      <c r="T19" s="221">
        <v>398230</v>
      </c>
      <c r="U19" s="97">
        <f t="shared" si="3"/>
        <v>-398230</v>
      </c>
    </row>
    <row r="20" spans="2:21" ht="38.25">
      <c r="B20" s="77"/>
      <c r="C20" s="65"/>
      <c r="D20" s="84"/>
      <c r="E20" s="84"/>
      <c r="F20" s="224"/>
      <c r="G20" s="100"/>
      <c r="H20" s="100">
        <f t="shared" si="2"/>
        <v>0</v>
      </c>
      <c r="I20" s="97"/>
      <c r="J20" s="98"/>
      <c r="K20" s="98"/>
      <c r="L20" s="98"/>
      <c r="M20" s="98"/>
      <c r="N20" s="98"/>
      <c r="O20" s="98">
        <v>88665</v>
      </c>
      <c r="P20" s="99"/>
      <c r="Q20" s="58" t="s">
        <v>77</v>
      </c>
      <c r="R20" s="289" t="s">
        <v>201</v>
      </c>
      <c r="S20" s="97">
        <v>0</v>
      </c>
      <c r="T20" s="221">
        <v>0</v>
      </c>
      <c r="U20" s="97">
        <f t="shared" si="3"/>
        <v>0</v>
      </c>
    </row>
    <row r="21" spans="2:21" ht="63.75">
      <c r="B21" s="77"/>
      <c r="C21" s="64"/>
      <c r="D21" s="84"/>
      <c r="E21" s="84"/>
      <c r="F21" s="224"/>
      <c r="G21" s="100"/>
      <c r="H21" s="100">
        <f t="shared" si="2"/>
        <v>0</v>
      </c>
      <c r="I21" s="97"/>
      <c r="J21" s="98"/>
      <c r="K21" s="98"/>
      <c r="L21" s="98"/>
      <c r="M21" s="98"/>
      <c r="N21" s="98">
        <v>9630</v>
      </c>
      <c r="O21" s="98">
        <v>-244929</v>
      </c>
      <c r="P21" s="99"/>
      <c r="Q21" s="58" t="s">
        <v>77</v>
      </c>
      <c r="R21" s="131" t="s">
        <v>181</v>
      </c>
      <c r="S21" s="97">
        <v>0</v>
      </c>
      <c r="T21" s="221">
        <v>0</v>
      </c>
      <c r="U21" s="97">
        <f t="shared" si="3"/>
        <v>0</v>
      </c>
    </row>
    <row r="22" spans="2:21" ht="12.75">
      <c r="B22" s="77"/>
      <c r="C22" s="64"/>
      <c r="D22" s="84"/>
      <c r="E22" s="224"/>
      <c r="F22" s="224"/>
      <c r="G22" s="100"/>
      <c r="H22" s="100">
        <f t="shared" si="2"/>
        <v>0</v>
      </c>
      <c r="I22" s="97"/>
      <c r="J22" s="98"/>
      <c r="K22" s="98"/>
      <c r="L22" s="98"/>
      <c r="M22" s="98"/>
      <c r="N22" s="98"/>
      <c r="O22" s="98">
        <v>72782</v>
      </c>
      <c r="P22" s="136">
        <v>40515</v>
      </c>
      <c r="Q22" s="58" t="s">
        <v>77</v>
      </c>
      <c r="R22" s="131" t="s">
        <v>185</v>
      </c>
      <c r="S22" s="97">
        <v>0</v>
      </c>
      <c r="T22" s="221">
        <v>0</v>
      </c>
      <c r="U22" s="97">
        <f t="shared" si="3"/>
        <v>0</v>
      </c>
    </row>
    <row r="23" spans="2:21" ht="12.75">
      <c r="B23" s="77"/>
      <c r="C23" s="64"/>
      <c r="D23" s="84"/>
      <c r="E23" s="224"/>
      <c r="F23" s="84"/>
      <c r="G23" s="100"/>
      <c r="H23" s="100">
        <f aca="true" t="shared" si="4" ref="H23:H30">G23-I23</f>
        <v>0</v>
      </c>
      <c r="I23" s="97"/>
      <c r="J23" s="98">
        <v>76000</v>
      </c>
      <c r="K23" s="98"/>
      <c r="L23" s="98"/>
      <c r="M23" s="98"/>
      <c r="N23" s="98"/>
      <c r="O23" s="98">
        <v>31220</v>
      </c>
      <c r="P23" s="99"/>
      <c r="Q23" s="58" t="s">
        <v>77</v>
      </c>
      <c r="R23" s="131" t="s">
        <v>185</v>
      </c>
      <c r="S23" s="97">
        <v>0</v>
      </c>
      <c r="T23" s="221">
        <v>0</v>
      </c>
      <c r="U23" s="97">
        <f t="shared" si="3"/>
        <v>0</v>
      </c>
    </row>
    <row r="24" spans="2:21" ht="12.75">
      <c r="B24" s="77"/>
      <c r="C24" s="64"/>
      <c r="D24" s="84"/>
      <c r="E24" s="224"/>
      <c r="F24" s="224"/>
      <c r="G24" s="100"/>
      <c r="H24" s="100">
        <f t="shared" si="4"/>
        <v>0</v>
      </c>
      <c r="I24" s="100"/>
      <c r="J24" s="98">
        <f>-76000-69782</f>
        <v>-145782</v>
      </c>
      <c r="K24" s="98"/>
      <c r="L24" s="98"/>
      <c r="M24" s="98"/>
      <c r="N24" s="98"/>
      <c r="O24" s="98"/>
      <c r="P24" s="136">
        <v>40515</v>
      </c>
      <c r="Q24" s="58" t="s">
        <v>77</v>
      </c>
      <c r="R24" s="131" t="s">
        <v>185</v>
      </c>
      <c r="S24" s="100">
        <v>0</v>
      </c>
      <c r="T24" s="221">
        <v>0</v>
      </c>
      <c r="U24" s="97">
        <f t="shared" si="3"/>
        <v>0</v>
      </c>
    </row>
    <row r="25" spans="2:21" ht="38.25">
      <c r="B25" s="77"/>
      <c r="C25" s="64"/>
      <c r="D25" s="84"/>
      <c r="E25" s="224"/>
      <c r="F25" s="84"/>
      <c r="G25" s="100"/>
      <c r="H25" s="100">
        <f t="shared" si="4"/>
        <v>0</v>
      </c>
      <c r="I25" s="97"/>
      <c r="J25" s="98"/>
      <c r="K25" s="98"/>
      <c r="L25" s="98"/>
      <c r="M25" s="98"/>
      <c r="N25" s="98"/>
      <c r="O25" s="98"/>
      <c r="P25" s="136">
        <v>40515</v>
      </c>
      <c r="Q25" s="58" t="s">
        <v>77</v>
      </c>
      <c r="R25" s="131" t="s">
        <v>182</v>
      </c>
      <c r="S25" s="97">
        <v>0</v>
      </c>
      <c r="T25" s="221">
        <v>0</v>
      </c>
      <c r="U25" s="97">
        <f t="shared" si="3"/>
        <v>0</v>
      </c>
    </row>
    <row r="26" spans="2:21" ht="12.75">
      <c r="B26" s="77"/>
      <c r="C26" s="64"/>
      <c r="D26" s="84"/>
      <c r="E26" s="224"/>
      <c r="F26" s="224"/>
      <c r="G26" s="100"/>
      <c r="H26" s="100">
        <f t="shared" si="4"/>
        <v>0</v>
      </c>
      <c r="I26" s="97"/>
      <c r="J26" s="98"/>
      <c r="K26" s="98"/>
      <c r="L26" s="98"/>
      <c r="M26" s="98"/>
      <c r="N26" s="98"/>
      <c r="O26" s="98">
        <v>100000</v>
      </c>
      <c r="P26" s="136">
        <v>40515</v>
      </c>
      <c r="Q26" s="58" t="s">
        <v>77</v>
      </c>
      <c r="R26" s="131" t="s">
        <v>185</v>
      </c>
      <c r="S26" s="97">
        <v>0</v>
      </c>
      <c r="T26" s="221">
        <v>0</v>
      </c>
      <c r="U26" s="97">
        <f t="shared" si="3"/>
        <v>0</v>
      </c>
    </row>
    <row r="27" spans="2:21" ht="38.25">
      <c r="B27" s="77"/>
      <c r="C27" s="64"/>
      <c r="D27" s="84"/>
      <c r="E27" s="224"/>
      <c r="F27" s="84"/>
      <c r="G27" s="100"/>
      <c r="H27" s="100">
        <f t="shared" si="4"/>
        <v>0</v>
      </c>
      <c r="I27" s="100"/>
      <c r="J27" s="98"/>
      <c r="K27" s="98"/>
      <c r="L27" s="98"/>
      <c r="M27" s="98"/>
      <c r="N27" s="98"/>
      <c r="O27" s="98">
        <v>-184987</v>
      </c>
      <c r="P27" s="136">
        <v>40525</v>
      </c>
      <c r="Q27" s="58" t="s">
        <v>77</v>
      </c>
      <c r="R27" s="131" t="s">
        <v>182</v>
      </c>
      <c r="S27" s="100">
        <v>0</v>
      </c>
      <c r="T27" s="221">
        <v>0</v>
      </c>
      <c r="U27" s="97">
        <f t="shared" si="3"/>
        <v>0</v>
      </c>
    </row>
    <row r="28" spans="2:21" ht="38.25">
      <c r="B28" s="77"/>
      <c r="C28" s="64"/>
      <c r="D28" s="124"/>
      <c r="E28" s="84"/>
      <c r="F28" s="225"/>
      <c r="G28" s="110"/>
      <c r="H28" s="100">
        <f t="shared" si="4"/>
        <v>0</v>
      </c>
      <c r="I28" s="97"/>
      <c r="J28" s="98"/>
      <c r="K28" s="98"/>
      <c r="L28" s="98"/>
      <c r="M28" s="98"/>
      <c r="N28" s="98"/>
      <c r="O28" s="98">
        <v>225353</v>
      </c>
      <c r="P28" s="136">
        <v>40606</v>
      </c>
      <c r="Q28" s="58" t="s">
        <v>77</v>
      </c>
      <c r="R28" s="131" t="s">
        <v>183</v>
      </c>
      <c r="S28" s="97">
        <v>0</v>
      </c>
      <c r="T28" s="221">
        <v>0</v>
      </c>
      <c r="U28" s="97">
        <f t="shared" si="3"/>
        <v>0</v>
      </c>
    </row>
    <row r="29" spans="2:21" ht="38.25">
      <c r="B29" s="77"/>
      <c r="C29" s="64"/>
      <c r="D29" s="124"/>
      <c r="E29" s="84"/>
      <c r="F29" s="225"/>
      <c r="G29" s="114"/>
      <c r="H29" s="176">
        <f t="shared" si="4"/>
        <v>0</v>
      </c>
      <c r="I29" s="97"/>
      <c r="J29" s="98"/>
      <c r="K29" s="98"/>
      <c r="L29" s="98"/>
      <c r="M29" s="98"/>
      <c r="N29" s="98"/>
      <c r="O29" s="98"/>
      <c r="P29" s="136">
        <v>40596</v>
      </c>
      <c r="Q29" s="58" t="s">
        <v>77</v>
      </c>
      <c r="R29" s="131" t="s">
        <v>184</v>
      </c>
      <c r="S29" s="97">
        <v>0</v>
      </c>
      <c r="T29" s="221">
        <v>0</v>
      </c>
      <c r="U29" s="97">
        <f t="shared" si="3"/>
        <v>0</v>
      </c>
    </row>
    <row r="30" spans="2:21" ht="38.25">
      <c r="B30" s="77"/>
      <c r="C30" s="64"/>
      <c r="D30" s="124"/>
      <c r="E30" s="84"/>
      <c r="F30" s="225"/>
      <c r="G30" s="210"/>
      <c r="H30" s="100">
        <f t="shared" si="4"/>
        <v>0</v>
      </c>
      <c r="I30" s="100"/>
      <c r="J30" s="98"/>
      <c r="K30" s="98"/>
      <c r="L30" s="98"/>
      <c r="M30" s="98">
        <v>145000</v>
      </c>
      <c r="N30" s="98"/>
      <c r="O30" s="98"/>
      <c r="P30" s="99"/>
      <c r="Q30" s="58" t="s">
        <v>77</v>
      </c>
      <c r="R30" s="131" t="s">
        <v>180</v>
      </c>
      <c r="S30" s="100">
        <v>0</v>
      </c>
      <c r="T30" s="221">
        <v>572500</v>
      </c>
      <c r="U30" s="97">
        <f t="shared" si="3"/>
        <v>-572500</v>
      </c>
    </row>
    <row r="31" spans="2:21" ht="12.75">
      <c r="B31" s="79"/>
      <c r="C31" s="52"/>
      <c r="D31" s="227"/>
      <c r="E31" s="74"/>
      <c r="F31" s="87"/>
      <c r="G31" s="118">
        <f>SUM(G16:G30)</f>
        <v>0</v>
      </c>
      <c r="H31" s="118">
        <f>SUM(H16:H30)</f>
        <v>0</v>
      </c>
      <c r="I31" s="118">
        <f>SUM(I16:I30)</f>
        <v>0</v>
      </c>
      <c r="J31" s="98"/>
      <c r="K31" s="98"/>
      <c r="L31" s="98"/>
      <c r="M31" s="98"/>
      <c r="N31" s="98"/>
      <c r="O31" s="98"/>
      <c r="P31" s="105"/>
      <c r="Q31" s="55"/>
      <c r="R31" s="137"/>
      <c r="S31" s="118">
        <f>SUM(S16:S30)</f>
        <v>0</v>
      </c>
      <c r="T31" s="118">
        <f>SUM(T16:T30)</f>
        <v>2941645</v>
      </c>
      <c r="U31" s="118">
        <f>SUM(U16:U30)</f>
        <v>-2941645</v>
      </c>
    </row>
    <row r="32" spans="2:21" ht="12.75">
      <c r="B32" s="53"/>
      <c r="C32" s="52"/>
      <c r="D32" s="227"/>
      <c r="E32" s="74"/>
      <c r="F32" s="74"/>
      <c r="G32" s="106"/>
      <c r="H32" s="106"/>
      <c r="I32" s="106"/>
      <c r="J32" s="98"/>
      <c r="K32" s="98"/>
      <c r="L32" s="98"/>
      <c r="M32" s="98"/>
      <c r="N32" s="98"/>
      <c r="O32" s="98"/>
      <c r="P32" s="105"/>
      <c r="Q32" s="55"/>
      <c r="R32" s="137"/>
      <c r="S32" s="106"/>
      <c r="T32" s="106"/>
      <c r="U32" s="106"/>
    </row>
    <row r="33" spans="2:21" ht="12.75">
      <c r="B33" s="54">
        <v>3</v>
      </c>
      <c r="C33" s="61" t="s">
        <v>90</v>
      </c>
      <c r="D33" s="74"/>
      <c r="E33" s="74"/>
      <c r="F33" s="74"/>
      <c r="G33" s="106"/>
      <c r="H33" s="106"/>
      <c r="I33" s="106"/>
      <c r="J33" s="98"/>
      <c r="K33" s="98"/>
      <c r="L33" s="98"/>
      <c r="M33" s="98"/>
      <c r="N33" s="98"/>
      <c r="O33" s="98"/>
      <c r="P33" s="105"/>
      <c r="Q33" s="55"/>
      <c r="R33" s="137"/>
      <c r="S33" s="106"/>
      <c r="T33" s="106"/>
      <c r="U33" s="106"/>
    </row>
    <row r="34" spans="2:21" ht="25.5">
      <c r="B34" s="77"/>
      <c r="C34" s="68"/>
      <c r="D34" s="84"/>
      <c r="E34" s="224"/>
      <c r="F34" s="84"/>
      <c r="G34" s="100"/>
      <c r="H34" s="100">
        <f>G34-I34</f>
        <v>0</v>
      </c>
      <c r="I34" s="100"/>
      <c r="J34" s="98"/>
      <c r="K34" s="98"/>
      <c r="L34" s="98"/>
      <c r="M34" s="98"/>
      <c r="N34" s="98"/>
      <c r="O34" s="98"/>
      <c r="P34" s="105"/>
      <c r="Q34" s="55" t="s">
        <v>63</v>
      </c>
      <c r="R34" s="131" t="s">
        <v>212</v>
      </c>
      <c r="S34" s="100">
        <v>0</v>
      </c>
      <c r="T34" s="221">
        <v>100000</v>
      </c>
      <c r="U34" s="97">
        <f>G34-T34</f>
        <v>-100000</v>
      </c>
    </row>
    <row r="35" spans="2:21" ht="12.75">
      <c r="B35" s="53"/>
      <c r="C35" s="52"/>
      <c r="D35" s="74"/>
      <c r="E35" s="74"/>
      <c r="F35" s="74"/>
      <c r="G35" s="101">
        <f>SUM(G34)</f>
        <v>0</v>
      </c>
      <c r="H35" s="101">
        <f>SUM(H34)</f>
        <v>0</v>
      </c>
      <c r="I35" s="101">
        <f>SUM(I34)</f>
        <v>0</v>
      </c>
      <c r="J35" s="98"/>
      <c r="K35" s="98"/>
      <c r="L35" s="98"/>
      <c r="M35" s="98"/>
      <c r="N35" s="98"/>
      <c r="O35" s="98"/>
      <c r="P35" s="105"/>
      <c r="Q35" s="55"/>
      <c r="R35" s="137"/>
      <c r="S35" s="101">
        <f>SUM(S34)</f>
        <v>0</v>
      </c>
      <c r="T35" s="101">
        <f>SUM(T34)</f>
        <v>100000</v>
      </c>
      <c r="U35" s="101">
        <f>SUM(U34)</f>
        <v>-100000</v>
      </c>
    </row>
    <row r="36" spans="2:21" ht="12.75">
      <c r="B36" s="53"/>
      <c r="C36" s="52"/>
      <c r="D36" s="74"/>
      <c r="E36" s="74"/>
      <c r="F36" s="74"/>
      <c r="G36" s="101"/>
      <c r="H36" s="101"/>
      <c r="I36" s="101"/>
      <c r="J36" s="98"/>
      <c r="K36" s="98"/>
      <c r="L36" s="98"/>
      <c r="M36" s="98"/>
      <c r="N36" s="98"/>
      <c r="O36" s="98"/>
      <c r="P36" s="105"/>
      <c r="Q36" s="55"/>
      <c r="R36" s="137"/>
      <c r="S36" s="101"/>
      <c r="T36" s="101"/>
      <c r="U36" s="101"/>
    </row>
    <row r="37" spans="2:21" ht="12.75">
      <c r="B37" s="54">
        <v>4</v>
      </c>
      <c r="C37" s="61" t="s">
        <v>92</v>
      </c>
      <c r="D37" s="74"/>
      <c r="E37" s="74"/>
      <c r="F37" s="74"/>
      <c r="G37" s="106"/>
      <c r="H37" s="106"/>
      <c r="I37" s="107"/>
      <c r="J37" s="98"/>
      <c r="K37" s="98"/>
      <c r="L37" s="98"/>
      <c r="M37" s="98"/>
      <c r="N37" s="98"/>
      <c r="O37" s="98"/>
      <c r="P37" s="105"/>
      <c r="Q37" s="55"/>
      <c r="R37" s="137"/>
      <c r="S37" s="106"/>
      <c r="T37" s="106"/>
      <c r="U37" s="107"/>
    </row>
    <row r="38" spans="2:21" ht="12.75">
      <c r="B38" s="75"/>
      <c r="C38" s="69"/>
      <c r="D38" s="84"/>
      <c r="E38" s="224"/>
      <c r="F38" s="84"/>
      <c r="G38" s="100"/>
      <c r="H38" s="100">
        <f>G38-I38</f>
        <v>0</v>
      </c>
      <c r="I38" s="100"/>
      <c r="J38" s="98"/>
      <c r="K38" s="98"/>
      <c r="L38" s="98"/>
      <c r="M38" s="98"/>
      <c r="N38" s="98"/>
      <c r="O38" s="98"/>
      <c r="P38" s="136">
        <v>40568</v>
      </c>
      <c r="Q38" s="58" t="s">
        <v>79</v>
      </c>
      <c r="R38" s="138" t="s">
        <v>150</v>
      </c>
      <c r="S38" s="100">
        <v>0</v>
      </c>
      <c r="T38" s="100">
        <v>0</v>
      </c>
      <c r="U38" s="97">
        <f>G38-T38</f>
        <v>0</v>
      </c>
    </row>
    <row r="39" spans="2:21" ht="12.75">
      <c r="B39" s="75"/>
      <c r="C39" s="70"/>
      <c r="D39" s="84"/>
      <c r="E39" s="224"/>
      <c r="F39" s="84"/>
      <c r="G39" s="100"/>
      <c r="H39" s="100">
        <f>G39-I39</f>
        <v>0</v>
      </c>
      <c r="I39" s="97"/>
      <c r="J39" s="98"/>
      <c r="K39" s="98"/>
      <c r="L39" s="98">
        <v>50000</v>
      </c>
      <c r="M39" s="98"/>
      <c r="N39" s="98"/>
      <c r="O39" s="98">
        <v>-32471</v>
      </c>
      <c r="P39" s="136">
        <v>40625</v>
      </c>
      <c r="Q39" s="58" t="s">
        <v>79</v>
      </c>
      <c r="R39" s="138" t="s">
        <v>189</v>
      </c>
      <c r="S39" s="97">
        <v>0</v>
      </c>
      <c r="T39" s="100">
        <v>0</v>
      </c>
      <c r="U39" s="97">
        <f>G39-T39</f>
        <v>0</v>
      </c>
    </row>
    <row r="40" spans="2:21" ht="12.75">
      <c r="B40" s="75"/>
      <c r="C40" s="71"/>
      <c r="D40" s="84"/>
      <c r="E40" s="224"/>
      <c r="F40" s="84"/>
      <c r="G40" s="100"/>
      <c r="H40" s="100">
        <f>G40-I40</f>
        <v>0</v>
      </c>
      <c r="I40" s="97"/>
      <c r="J40" s="98"/>
      <c r="K40" s="98"/>
      <c r="L40" s="98">
        <v>0</v>
      </c>
      <c r="M40" s="98"/>
      <c r="N40" s="98"/>
      <c r="O40" s="98">
        <v>20000</v>
      </c>
      <c r="P40" s="99"/>
      <c r="Q40" s="58" t="s">
        <v>79</v>
      </c>
      <c r="R40" s="138" t="s">
        <v>190</v>
      </c>
      <c r="S40" s="97">
        <v>0</v>
      </c>
      <c r="T40" s="100">
        <v>200000</v>
      </c>
      <c r="U40" s="97">
        <f>G40-T40</f>
        <v>-200000</v>
      </c>
    </row>
    <row r="41" spans="2:21" ht="38.25">
      <c r="B41" s="75"/>
      <c r="C41" s="71"/>
      <c r="D41" s="84"/>
      <c r="E41" s="224"/>
      <c r="F41" s="84"/>
      <c r="G41" s="100"/>
      <c r="H41" s="100">
        <f>G41-I41</f>
        <v>0</v>
      </c>
      <c r="I41" s="100"/>
      <c r="J41" s="98"/>
      <c r="K41" s="98">
        <v>-1200000</v>
      </c>
      <c r="L41" s="98">
        <v>0</v>
      </c>
      <c r="M41" s="98"/>
      <c r="N41" s="98"/>
      <c r="O41" s="98"/>
      <c r="P41" s="99"/>
      <c r="Q41" s="58" t="s">
        <v>79</v>
      </c>
      <c r="R41" s="138" t="s">
        <v>144</v>
      </c>
      <c r="S41" s="100">
        <v>0</v>
      </c>
      <c r="T41" s="100">
        <v>0</v>
      </c>
      <c r="U41" s="97">
        <f>G41-T41</f>
        <v>0</v>
      </c>
    </row>
    <row r="42" spans="2:21" ht="12.75">
      <c r="B42" s="75"/>
      <c r="C42" s="71"/>
      <c r="D42" s="84"/>
      <c r="E42" s="224"/>
      <c r="F42" s="84"/>
      <c r="G42" s="100"/>
      <c r="H42" s="100">
        <f>G42-I42</f>
        <v>0</v>
      </c>
      <c r="I42" s="100"/>
      <c r="J42" s="98"/>
      <c r="K42" s="98"/>
      <c r="L42" s="98"/>
      <c r="M42" s="98"/>
      <c r="N42" s="98"/>
      <c r="O42" s="98">
        <v>12471</v>
      </c>
      <c r="P42" s="99"/>
      <c r="Q42" s="58" t="s">
        <v>79</v>
      </c>
      <c r="R42" s="138" t="s">
        <v>191</v>
      </c>
      <c r="S42" s="100"/>
      <c r="T42" s="100">
        <v>0</v>
      </c>
      <c r="U42" s="97">
        <f>G42-T42</f>
        <v>0</v>
      </c>
    </row>
    <row r="43" spans="2:21" ht="12.75">
      <c r="B43" s="74"/>
      <c r="C43" s="85"/>
      <c r="D43" s="84"/>
      <c r="E43" s="84"/>
      <c r="F43" s="84"/>
      <c r="G43" s="101">
        <f>SUM(G38:G42)</f>
        <v>0</v>
      </c>
      <c r="H43" s="101">
        <f>SUM(H38:H42)</f>
        <v>0</v>
      </c>
      <c r="I43" s="101">
        <f>SUM(I38:I42)</f>
        <v>0</v>
      </c>
      <c r="J43" s="98"/>
      <c r="K43" s="98"/>
      <c r="L43" s="98"/>
      <c r="M43" s="98"/>
      <c r="N43" s="98"/>
      <c r="O43" s="98"/>
      <c r="P43" s="108"/>
      <c r="Q43" s="57"/>
      <c r="R43" s="131"/>
      <c r="S43" s="101">
        <f>SUM(S38:S42)</f>
        <v>0</v>
      </c>
      <c r="T43" s="101">
        <f>SUM(T38:T42)</f>
        <v>200000</v>
      </c>
      <c r="U43" s="101">
        <f>SUM(U38:U42)</f>
        <v>-200000</v>
      </c>
    </row>
    <row r="44" spans="2:21" ht="12.75">
      <c r="B44" s="74"/>
      <c r="C44" s="80"/>
      <c r="D44" s="84"/>
      <c r="E44" s="84"/>
      <c r="F44" s="84"/>
      <c r="G44" s="101"/>
      <c r="H44" s="101"/>
      <c r="I44" s="101"/>
      <c r="J44" s="98"/>
      <c r="K44" s="98"/>
      <c r="L44" s="98"/>
      <c r="M44" s="98"/>
      <c r="N44" s="98"/>
      <c r="O44" s="98"/>
      <c r="P44" s="108"/>
      <c r="Q44" s="57"/>
      <c r="R44" s="131"/>
      <c r="S44" s="101"/>
      <c r="T44" s="101"/>
      <c r="U44" s="101"/>
    </row>
    <row r="45" spans="2:21" ht="12.75">
      <c r="B45" s="54">
        <v>5</v>
      </c>
      <c r="C45" s="61" t="s">
        <v>93</v>
      </c>
      <c r="D45" s="74"/>
      <c r="E45" s="74"/>
      <c r="F45" s="74"/>
      <c r="G45" s="106"/>
      <c r="H45" s="106"/>
      <c r="I45" s="107"/>
      <c r="J45" s="98"/>
      <c r="K45" s="98"/>
      <c r="L45" s="98"/>
      <c r="M45" s="98"/>
      <c r="N45" s="98"/>
      <c r="O45" s="98"/>
      <c r="P45" s="105"/>
      <c r="Q45" s="55"/>
      <c r="R45" s="131"/>
      <c r="S45" s="106"/>
      <c r="T45" s="106"/>
      <c r="U45" s="107"/>
    </row>
    <row r="46" spans="2:21" ht="25.5">
      <c r="B46" s="75"/>
      <c r="C46" s="71"/>
      <c r="D46" s="209"/>
      <c r="E46" s="224"/>
      <c r="F46" s="209"/>
      <c r="G46" s="100"/>
      <c r="H46" s="100">
        <f>G46-I46</f>
        <v>0</v>
      </c>
      <c r="I46" s="100"/>
      <c r="J46" s="98"/>
      <c r="K46" s="98"/>
      <c r="L46" s="98">
        <v>311022</v>
      </c>
      <c r="M46" s="98"/>
      <c r="N46" s="98"/>
      <c r="O46" s="98">
        <v>51102</v>
      </c>
      <c r="P46" s="99"/>
      <c r="Q46" s="133" t="s">
        <v>78</v>
      </c>
      <c r="R46" s="138" t="s">
        <v>158</v>
      </c>
      <c r="S46" s="100">
        <v>0</v>
      </c>
      <c r="T46" s="100">
        <v>200000</v>
      </c>
      <c r="U46" s="97">
        <f>G46-T46</f>
        <v>-200000</v>
      </c>
    </row>
    <row r="47" spans="2:21" ht="25.5">
      <c r="B47" s="75"/>
      <c r="C47" s="71"/>
      <c r="D47" s="209"/>
      <c r="E47" s="224"/>
      <c r="F47" s="209"/>
      <c r="G47" s="100"/>
      <c r="H47" s="100">
        <f>G47-I47</f>
        <v>0</v>
      </c>
      <c r="I47" s="100"/>
      <c r="J47" s="98"/>
      <c r="K47" s="98"/>
      <c r="L47" s="98">
        <v>688978</v>
      </c>
      <c r="M47" s="98"/>
      <c r="N47" s="98"/>
      <c r="O47" s="98">
        <v>323885</v>
      </c>
      <c r="P47" s="136">
        <v>40625</v>
      </c>
      <c r="Q47" s="133" t="s">
        <v>78</v>
      </c>
      <c r="R47" s="138" t="s">
        <v>158</v>
      </c>
      <c r="S47" s="100">
        <v>0</v>
      </c>
      <c r="T47" s="100">
        <v>1200000</v>
      </c>
      <c r="U47" s="97">
        <f>G47-T47</f>
        <v>-1200000</v>
      </c>
    </row>
    <row r="48" spans="2:21" ht="25.5">
      <c r="B48" s="75"/>
      <c r="C48" s="71"/>
      <c r="D48" s="209"/>
      <c r="E48" s="224"/>
      <c r="F48" s="209"/>
      <c r="G48" s="100"/>
      <c r="H48" s="100">
        <f>G48-I48</f>
        <v>0</v>
      </c>
      <c r="I48" s="100"/>
      <c r="J48" s="98"/>
      <c r="K48" s="98"/>
      <c r="L48" s="98"/>
      <c r="M48" s="98"/>
      <c r="N48" s="98"/>
      <c r="O48" s="98">
        <v>-600117</v>
      </c>
      <c r="P48" s="136">
        <v>40625</v>
      </c>
      <c r="Q48" s="133" t="s">
        <v>78</v>
      </c>
      <c r="R48" s="138" t="s">
        <v>158</v>
      </c>
      <c r="S48" s="100">
        <v>0</v>
      </c>
      <c r="T48" s="100">
        <v>1200000</v>
      </c>
      <c r="U48" s="97">
        <f>G48-T48</f>
        <v>-1200000</v>
      </c>
    </row>
    <row r="49" spans="2:21" ht="12.75">
      <c r="B49" s="77"/>
      <c r="C49" s="73"/>
      <c r="D49" s="84"/>
      <c r="E49" s="84"/>
      <c r="F49" s="84"/>
      <c r="G49" s="101">
        <f>SUM(G46:G48)</f>
        <v>0</v>
      </c>
      <c r="H49" s="101">
        <f>SUM(H46:H48)</f>
        <v>0</v>
      </c>
      <c r="I49" s="101">
        <f>SUM(I46:I48)</f>
        <v>0</v>
      </c>
      <c r="J49" s="98"/>
      <c r="K49" s="98"/>
      <c r="L49" s="98"/>
      <c r="M49" s="98"/>
      <c r="N49" s="98"/>
      <c r="O49" s="98"/>
      <c r="P49" s="99"/>
      <c r="Q49" s="222"/>
      <c r="R49" s="131"/>
      <c r="S49" s="101">
        <f>SUM(S46:S48)</f>
        <v>0</v>
      </c>
      <c r="T49" s="101">
        <f>SUM(T46:T48)</f>
        <v>2600000</v>
      </c>
      <c r="U49" s="101">
        <f>SUM(U46:U48)</f>
        <v>-2600000</v>
      </c>
    </row>
    <row r="50" spans="2:21" ht="12.75">
      <c r="B50" s="87"/>
      <c r="C50" s="80"/>
      <c r="D50" s="84"/>
      <c r="E50" s="84"/>
      <c r="F50" s="84"/>
      <c r="G50" s="101"/>
      <c r="H50" s="101"/>
      <c r="I50" s="101"/>
      <c r="J50" s="98"/>
      <c r="K50" s="98"/>
      <c r="L50" s="98"/>
      <c r="M50" s="98"/>
      <c r="N50" s="98"/>
      <c r="O50" s="98"/>
      <c r="P50" s="108"/>
      <c r="Q50" s="57"/>
      <c r="R50" s="131"/>
      <c r="S50" s="101"/>
      <c r="T50" s="101"/>
      <c r="U50" s="101"/>
    </row>
    <row r="51" spans="2:21" ht="12.75">
      <c r="B51" s="54">
        <v>6</v>
      </c>
      <c r="C51" s="61" t="s">
        <v>94</v>
      </c>
      <c r="D51" s="74"/>
      <c r="E51" s="74"/>
      <c r="F51" s="74"/>
      <c r="G51" s="106"/>
      <c r="H51" s="106"/>
      <c r="I51" s="107"/>
      <c r="J51" s="98"/>
      <c r="K51" s="98"/>
      <c r="L51" s="98"/>
      <c r="M51" s="98"/>
      <c r="N51" s="98"/>
      <c r="O51" s="98"/>
      <c r="P51" s="105"/>
      <c r="Q51" s="55"/>
      <c r="R51" s="131"/>
      <c r="S51" s="106"/>
      <c r="T51" s="106"/>
      <c r="U51" s="107"/>
    </row>
    <row r="52" spans="2:21" ht="51">
      <c r="B52" s="122"/>
      <c r="C52" s="69"/>
      <c r="D52" s="84"/>
      <c r="E52" s="84"/>
      <c r="F52" s="224"/>
      <c r="G52" s="100"/>
      <c r="H52" s="100">
        <f>G52-I52</f>
        <v>0</v>
      </c>
      <c r="I52" s="100"/>
      <c r="J52" s="98"/>
      <c r="K52" s="98">
        <v>100000</v>
      </c>
      <c r="L52" s="98">
        <v>0</v>
      </c>
      <c r="M52" s="98"/>
      <c r="N52" s="98"/>
      <c r="O52" s="98">
        <v>25910</v>
      </c>
      <c r="P52" s="136">
        <v>40624</v>
      </c>
      <c r="Q52" s="55" t="s">
        <v>63</v>
      </c>
      <c r="R52" s="289" t="s">
        <v>202</v>
      </c>
      <c r="S52" s="100">
        <v>0</v>
      </c>
      <c r="T52" s="221">
        <v>0</v>
      </c>
      <c r="U52" s="97">
        <f aca="true" t="shared" si="5" ref="U52:U60">G52-T52</f>
        <v>0</v>
      </c>
    </row>
    <row r="53" spans="2:21" ht="38.25">
      <c r="B53" s="122"/>
      <c r="C53" s="69"/>
      <c r="D53" s="84"/>
      <c r="E53" s="224"/>
      <c r="F53" s="84"/>
      <c r="G53" s="100"/>
      <c r="H53" s="100">
        <f aca="true" t="shared" si="6" ref="H53:H59">G53-I53</f>
        <v>0</v>
      </c>
      <c r="I53" s="100"/>
      <c r="J53" s="98"/>
      <c r="K53" s="98"/>
      <c r="L53" s="98"/>
      <c r="M53" s="98"/>
      <c r="N53" s="98"/>
      <c r="O53" s="98">
        <v>61615</v>
      </c>
      <c r="P53" s="99"/>
      <c r="Q53" s="86" t="s">
        <v>77</v>
      </c>
      <c r="R53" s="289" t="s">
        <v>203</v>
      </c>
      <c r="S53" s="100">
        <v>0</v>
      </c>
      <c r="T53" s="221">
        <v>0</v>
      </c>
      <c r="U53" s="97">
        <f t="shared" si="5"/>
        <v>0</v>
      </c>
    </row>
    <row r="54" spans="2:21" ht="51">
      <c r="B54" s="122"/>
      <c r="C54" s="64"/>
      <c r="D54" s="84"/>
      <c r="E54" s="84"/>
      <c r="F54" s="224"/>
      <c r="G54" s="100"/>
      <c r="H54" s="100">
        <f t="shared" si="6"/>
        <v>0</v>
      </c>
      <c r="I54" s="100"/>
      <c r="J54" s="98"/>
      <c r="K54" s="98"/>
      <c r="L54" s="98"/>
      <c r="M54" s="98"/>
      <c r="N54" s="98"/>
      <c r="O54" s="98"/>
      <c r="P54" s="108"/>
      <c r="Q54" s="55" t="s">
        <v>63</v>
      </c>
      <c r="R54" s="138" t="s">
        <v>194</v>
      </c>
      <c r="S54" s="100">
        <v>0</v>
      </c>
      <c r="T54" s="100">
        <v>6086945</v>
      </c>
      <c r="U54" s="97">
        <f t="shared" si="5"/>
        <v>-6086945</v>
      </c>
    </row>
    <row r="55" spans="2:21" ht="12.75">
      <c r="B55" s="123"/>
      <c r="C55" s="69"/>
      <c r="D55" s="84"/>
      <c r="E55" s="224"/>
      <c r="F55" s="84"/>
      <c r="G55" s="100"/>
      <c r="H55" s="100">
        <f t="shared" si="6"/>
        <v>0</v>
      </c>
      <c r="I55" s="100"/>
      <c r="J55" s="98"/>
      <c r="K55" s="98">
        <v>80000</v>
      </c>
      <c r="L55" s="98">
        <v>0</v>
      </c>
      <c r="M55" s="98"/>
      <c r="N55" s="98"/>
      <c r="O55" s="98">
        <v>3236</v>
      </c>
      <c r="P55" s="108"/>
      <c r="Q55" s="55" t="s">
        <v>63</v>
      </c>
      <c r="R55" s="131" t="s">
        <v>195</v>
      </c>
      <c r="S55" s="100">
        <v>0</v>
      </c>
      <c r="T55" s="100">
        <v>0</v>
      </c>
      <c r="U55" s="97">
        <f t="shared" si="5"/>
        <v>0</v>
      </c>
    </row>
    <row r="56" spans="2:21" ht="12.75">
      <c r="B56" s="123"/>
      <c r="C56" s="80"/>
      <c r="D56" s="84"/>
      <c r="E56" s="84"/>
      <c r="F56" s="224"/>
      <c r="G56" s="100"/>
      <c r="H56" s="100">
        <f t="shared" si="6"/>
        <v>0</v>
      </c>
      <c r="I56" s="100"/>
      <c r="J56" s="98">
        <v>-350194</v>
      </c>
      <c r="K56" s="98"/>
      <c r="L56" s="98">
        <v>0</v>
      </c>
      <c r="M56" s="98"/>
      <c r="N56" s="98"/>
      <c r="O56" s="98"/>
      <c r="P56" s="136">
        <v>40630</v>
      </c>
      <c r="Q56" s="55" t="s">
        <v>63</v>
      </c>
      <c r="R56" s="131" t="s">
        <v>196</v>
      </c>
      <c r="S56" s="100">
        <v>0</v>
      </c>
      <c r="T56" s="100">
        <v>300000</v>
      </c>
      <c r="U56" s="97">
        <f t="shared" si="5"/>
        <v>-300000</v>
      </c>
    </row>
    <row r="57" spans="2:21" ht="51">
      <c r="B57" s="123"/>
      <c r="C57" s="129"/>
      <c r="D57" s="84"/>
      <c r="E57" s="224"/>
      <c r="F57" s="84"/>
      <c r="G57" s="100"/>
      <c r="H57" s="100">
        <f t="shared" si="6"/>
        <v>0</v>
      </c>
      <c r="I57" s="100"/>
      <c r="J57" s="98"/>
      <c r="K57" s="98"/>
      <c r="L57" s="98"/>
      <c r="M57" s="98"/>
      <c r="N57" s="98"/>
      <c r="O57" s="98">
        <v>25918</v>
      </c>
      <c r="P57" s="108"/>
      <c r="Q57" s="86" t="s">
        <v>77</v>
      </c>
      <c r="R57" s="289" t="s">
        <v>204</v>
      </c>
      <c r="S57" s="100">
        <v>0</v>
      </c>
      <c r="T57" s="221">
        <v>0</v>
      </c>
      <c r="U57" s="97">
        <f t="shared" si="5"/>
        <v>0</v>
      </c>
    </row>
    <row r="58" spans="2:21" ht="51">
      <c r="B58" s="123"/>
      <c r="C58" s="80"/>
      <c r="D58" s="84"/>
      <c r="E58" s="224"/>
      <c r="F58" s="84"/>
      <c r="G58" s="100"/>
      <c r="H58" s="100">
        <f t="shared" si="6"/>
        <v>0</v>
      </c>
      <c r="I58" s="100"/>
      <c r="J58" s="98"/>
      <c r="K58" s="98"/>
      <c r="L58" s="98">
        <v>0</v>
      </c>
      <c r="M58" s="98"/>
      <c r="N58" s="98"/>
      <c r="O58" s="98"/>
      <c r="P58" s="108"/>
      <c r="Q58" s="57" t="s">
        <v>109</v>
      </c>
      <c r="R58" s="131" t="s">
        <v>200</v>
      </c>
      <c r="S58" s="100">
        <v>0</v>
      </c>
      <c r="T58" s="100">
        <v>250000</v>
      </c>
      <c r="U58" s="97">
        <f t="shared" si="5"/>
        <v>-250000</v>
      </c>
    </row>
    <row r="59" spans="2:21" ht="51">
      <c r="B59" s="123"/>
      <c r="C59" s="80"/>
      <c r="D59" s="84"/>
      <c r="E59" s="224"/>
      <c r="F59" s="84"/>
      <c r="G59" s="100"/>
      <c r="H59" s="100">
        <f t="shared" si="6"/>
        <v>0</v>
      </c>
      <c r="I59" s="100"/>
      <c r="J59" s="98"/>
      <c r="K59" s="98">
        <v>-300000</v>
      </c>
      <c r="L59" s="98"/>
      <c r="M59" s="98"/>
      <c r="N59" s="98"/>
      <c r="O59" s="98">
        <v>200000</v>
      </c>
      <c r="P59" s="108"/>
      <c r="Q59" s="55" t="s">
        <v>63</v>
      </c>
      <c r="R59" s="131" t="s">
        <v>213</v>
      </c>
      <c r="S59" s="100">
        <v>0</v>
      </c>
      <c r="T59" s="221">
        <v>0</v>
      </c>
      <c r="U59" s="97">
        <f t="shared" si="5"/>
        <v>0</v>
      </c>
    </row>
    <row r="60" spans="2:21" ht="12.75">
      <c r="B60" s="122"/>
      <c r="C60" s="69"/>
      <c r="D60" s="84"/>
      <c r="E60" s="224"/>
      <c r="F60" s="84"/>
      <c r="G60" s="100"/>
      <c r="H60" s="100">
        <f>G60-I60</f>
        <v>0</v>
      </c>
      <c r="I60" s="100"/>
      <c r="J60" s="98">
        <v>-753694</v>
      </c>
      <c r="K60" s="98">
        <f>-100000-80000</f>
        <v>-180000</v>
      </c>
      <c r="L60" s="98">
        <v>0</v>
      </c>
      <c r="M60" s="98"/>
      <c r="N60" s="98"/>
      <c r="O60" s="98">
        <v>14676</v>
      </c>
      <c r="P60" s="136">
        <v>40633</v>
      </c>
      <c r="Q60" s="55" t="s">
        <v>63</v>
      </c>
      <c r="R60" s="131" t="s">
        <v>197</v>
      </c>
      <c r="S60" s="100">
        <v>0</v>
      </c>
      <c r="T60" s="100">
        <v>300000</v>
      </c>
      <c r="U60" s="97">
        <f t="shared" si="5"/>
        <v>-300000</v>
      </c>
    </row>
    <row r="61" spans="2:21" ht="12.75">
      <c r="B61" s="87"/>
      <c r="C61" s="80"/>
      <c r="D61" s="84"/>
      <c r="E61" s="84"/>
      <c r="F61" s="84"/>
      <c r="G61" s="101">
        <f>SUM(G52:G60)</f>
        <v>0</v>
      </c>
      <c r="H61" s="101">
        <f>SUM(H52:H60)</f>
        <v>0</v>
      </c>
      <c r="I61" s="101">
        <f>SUM(I52:I60)</f>
        <v>0</v>
      </c>
      <c r="J61" s="98"/>
      <c r="K61" s="98"/>
      <c r="L61" s="98"/>
      <c r="M61" s="98"/>
      <c r="N61" s="98"/>
      <c r="O61" s="98"/>
      <c r="P61" s="108"/>
      <c r="Q61" s="57"/>
      <c r="R61" s="131"/>
      <c r="S61" s="101">
        <f>SUM(S52:S60)</f>
        <v>0</v>
      </c>
      <c r="T61" s="101">
        <f>SUM(T52:T60)</f>
        <v>6936945</v>
      </c>
      <c r="U61" s="101">
        <f>SUM(U52:U60)</f>
        <v>-6936945</v>
      </c>
    </row>
    <row r="62" spans="2:21" ht="12.75">
      <c r="B62" s="87"/>
      <c r="C62" s="80"/>
      <c r="D62" s="84"/>
      <c r="E62" s="84"/>
      <c r="F62" s="84"/>
      <c r="G62" s="101"/>
      <c r="H62" s="101"/>
      <c r="I62" s="101"/>
      <c r="J62" s="98"/>
      <c r="K62" s="98"/>
      <c r="L62" s="98"/>
      <c r="M62" s="98"/>
      <c r="N62" s="98"/>
      <c r="O62" s="98"/>
      <c r="P62" s="108"/>
      <c r="Q62" s="57"/>
      <c r="R62" s="131"/>
      <c r="S62" s="101"/>
      <c r="T62" s="101"/>
      <c r="U62" s="101"/>
    </row>
    <row r="63" spans="2:21" ht="12.75">
      <c r="B63" s="54">
        <v>7</v>
      </c>
      <c r="C63" s="61" t="s">
        <v>26</v>
      </c>
      <c r="D63" s="74"/>
      <c r="E63" s="74"/>
      <c r="F63" s="74"/>
      <c r="G63" s="106"/>
      <c r="H63" s="106"/>
      <c r="I63" s="107"/>
      <c r="J63" s="98"/>
      <c r="K63" s="98"/>
      <c r="L63" s="98"/>
      <c r="M63" s="98"/>
      <c r="N63" s="98"/>
      <c r="O63" s="98"/>
      <c r="P63" s="105"/>
      <c r="Q63" s="55"/>
      <c r="R63" s="137"/>
      <c r="S63" s="106"/>
      <c r="T63" s="106"/>
      <c r="U63" s="107"/>
    </row>
    <row r="64" spans="2:21" ht="25.5">
      <c r="B64" s="78"/>
      <c r="C64" s="69"/>
      <c r="D64" s="84"/>
      <c r="E64" s="84"/>
      <c r="F64" s="224"/>
      <c r="G64" s="100"/>
      <c r="H64" s="100">
        <f>G64-I64</f>
        <v>0</v>
      </c>
      <c r="I64" s="97"/>
      <c r="J64" s="98">
        <v>-2114</v>
      </c>
      <c r="K64" s="98"/>
      <c r="L64" s="98"/>
      <c r="M64" s="98"/>
      <c r="N64" s="98"/>
      <c r="O64" s="98"/>
      <c r="P64" s="136">
        <v>40624</v>
      </c>
      <c r="Q64" s="55" t="s">
        <v>78</v>
      </c>
      <c r="R64" s="138" t="s">
        <v>159</v>
      </c>
      <c r="S64" s="100">
        <v>0</v>
      </c>
      <c r="T64" s="100">
        <v>350000</v>
      </c>
      <c r="U64" s="97">
        <f>G64-T64</f>
        <v>-350000</v>
      </c>
    </row>
    <row r="65" spans="2:21" ht="12.75">
      <c r="B65" s="74"/>
      <c r="C65" s="52"/>
      <c r="D65" s="84"/>
      <c r="E65" s="84"/>
      <c r="F65" s="84"/>
      <c r="G65" s="101">
        <f>SUM(G64:G64)</f>
        <v>0</v>
      </c>
      <c r="H65" s="101">
        <f>SUM(H64:H64)</f>
        <v>0</v>
      </c>
      <c r="I65" s="101">
        <f>SUM(I64:I64)</f>
        <v>0</v>
      </c>
      <c r="J65" s="98"/>
      <c r="K65" s="98"/>
      <c r="L65" s="98"/>
      <c r="M65" s="98"/>
      <c r="N65" s="98"/>
      <c r="O65" s="98"/>
      <c r="P65" s="99"/>
      <c r="Q65" s="57"/>
      <c r="R65" s="131"/>
      <c r="S65" s="101">
        <f>SUM(S64:S64)</f>
        <v>0</v>
      </c>
      <c r="T65" s="101">
        <f>SUM(T64:T64)</f>
        <v>350000</v>
      </c>
      <c r="U65" s="101">
        <f>SUM(U64:U64)</f>
        <v>-350000</v>
      </c>
    </row>
    <row r="66" spans="2:21" ht="12.75">
      <c r="B66" s="74"/>
      <c r="C66" s="52"/>
      <c r="D66" s="84"/>
      <c r="E66" s="84"/>
      <c r="F66" s="84"/>
      <c r="G66" s="106"/>
      <c r="H66" s="106"/>
      <c r="I66" s="106"/>
      <c r="J66" s="98"/>
      <c r="K66" s="98"/>
      <c r="L66" s="98"/>
      <c r="M66" s="98"/>
      <c r="N66" s="98"/>
      <c r="O66" s="98"/>
      <c r="P66" s="99"/>
      <c r="Q66" s="57"/>
      <c r="R66" s="131"/>
      <c r="S66" s="106"/>
      <c r="T66" s="106"/>
      <c r="U66" s="106"/>
    </row>
    <row r="67" spans="2:21" ht="12.75">
      <c r="B67" s="54">
        <v>8</v>
      </c>
      <c r="C67" s="61" t="s">
        <v>27</v>
      </c>
      <c r="D67" s="74"/>
      <c r="E67" s="74"/>
      <c r="F67" s="74"/>
      <c r="G67" s="106"/>
      <c r="H67" s="106"/>
      <c r="I67" s="107"/>
      <c r="J67" s="98"/>
      <c r="K67" s="98"/>
      <c r="L67" s="98"/>
      <c r="M67" s="98"/>
      <c r="N67" s="98"/>
      <c r="O67" s="98"/>
      <c r="P67" s="105"/>
      <c r="Q67" s="55"/>
      <c r="R67" s="137"/>
      <c r="S67" s="106"/>
      <c r="T67" s="106"/>
      <c r="U67" s="107"/>
    </row>
    <row r="68" spans="2:21" ht="25.5">
      <c r="B68" s="76"/>
      <c r="C68" s="64"/>
      <c r="D68" s="84"/>
      <c r="E68" s="224"/>
      <c r="F68" s="84"/>
      <c r="G68" s="100"/>
      <c r="H68" s="100">
        <f aca="true" t="shared" si="7" ref="H68:H78">G68-I68</f>
        <v>0</v>
      </c>
      <c r="I68" s="97"/>
      <c r="J68" s="98"/>
      <c r="K68" s="98"/>
      <c r="L68" s="98"/>
      <c r="M68" s="98"/>
      <c r="N68" s="98"/>
      <c r="O68" s="98">
        <v>311196</v>
      </c>
      <c r="P68" s="136">
        <v>40583</v>
      </c>
      <c r="Q68" s="58" t="s">
        <v>80</v>
      </c>
      <c r="R68" s="139" t="s">
        <v>166</v>
      </c>
      <c r="S68" s="97">
        <v>0</v>
      </c>
      <c r="T68" s="100">
        <v>280000</v>
      </c>
      <c r="U68" s="97">
        <f aca="true" t="shared" si="8" ref="U68:U78">G68-T68</f>
        <v>-280000</v>
      </c>
    </row>
    <row r="69" spans="2:21" ht="25.5">
      <c r="B69" s="77"/>
      <c r="C69" s="64"/>
      <c r="D69" s="84"/>
      <c r="E69" s="224"/>
      <c r="F69" s="84"/>
      <c r="G69" s="100"/>
      <c r="H69" s="100">
        <f t="shared" si="7"/>
        <v>0</v>
      </c>
      <c r="I69" s="100"/>
      <c r="J69" s="98"/>
      <c r="K69" s="98"/>
      <c r="L69" s="98"/>
      <c r="M69" s="98"/>
      <c r="N69" s="98"/>
      <c r="O69" s="98">
        <v>201149</v>
      </c>
      <c r="P69" s="136">
        <v>40611</v>
      </c>
      <c r="Q69" s="58" t="s">
        <v>80</v>
      </c>
      <c r="R69" s="138" t="s">
        <v>165</v>
      </c>
      <c r="S69" s="100">
        <v>0</v>
      </c>
      <c r="T69" s="100">
        <v>0</v>
      </c>
      <c r="U69" s="97">
        <f t="shared" si="8"/>
        <v>0</v>
      </c>
    </row>
    <row r="70" spans="2:21" ht="12.75">
      <c r="B70" s="77"/>
      <c r="C70" s="64"/>
      <c r="D70" s="84"/>
      <c r="E70" s="224"/>
      <c r="F70" s="84"/>
      <c r="G70" s="100"/>
      <c r="H70" s="100">
        <f t="shared" si="7"/>
        <v>0</v>
      </c>
      <c r="I70" s="100"/>
      <c r="J70" s="98"/>
      <c r="K70" s="98"/>
      <c r="L70" s="98"/>
      <c r="M70" s="98"/>
      <c r="N70" s="98"/>
      <c r="O70" s="98"/>
      <c r="P70" s="136">
        <v>40618</v>
      </c>
      <c r="Q70" s="58" t="s">
        <v>77</v>
      </c>
      <c r="R70" s="139" t="s">
        <v>198</v>
      </c>
      <c r="S70" s="100">
        <v>0</v>
      </c>
      <c r="T70" s="100">
        <v>0</v>
      </c>
      <c r="U70" s="97">
        <f t="shared" si="8"/>
        <v>0</v>
      </c>
    </row>
    <row r="71" spans="2:21" ht="12.75">
      <c r="B71" s="77"/>
      <c r="C71" s="64"/>
      <c r="D71" s="84"/>
      <c r="E71" s="224"/>
      <c r="F71" s="84"/>
      <c r="G71" s="100"/>
      <c r="H71" s="100">
        <f t="shared" si="7"/>
        <v>0</v>
      </c>
      <c r="I71" s="100"/>
      <c r="J71" s="98">
        <v>-3600</v>
      </c>
      <c r="K71" s="98"/>
      <c r="L71" s="98"/>
      <c r="M71" s="98"/>
      <c r="N71" s="98"/>
      <c r="O71" s="98"/>
      <c r="P71" s="136">
        <v>40616</v>
      </c>
      <c r="Q71" s="58" t="s">
        <v>80</v>
      </c>
      <c r="R71" s="131" t="s">
        <v>167</v>
      </c>
      <c r="S71" s="100">
        <v>0</v>
      </c>
      <c r="T71" s="100">
        <v>0</v>
      </c>
      <c r="U71" s="97">
        <f t="shared" si="8"/>
        <v>0</v>
      </c>
    </row>
    <row r="72" spans="2:21" ht="12.75">
      <c r="B72" s="76"/>
      <c r="C72" s="95"/>
      <c r="D72" s="89"/>
      <c r="E72" s="225"/>
      <c r="F72" s="89"/>
      <c r="G72" s="110"/>
      <c r="H72" s="110">
        <f t="shared" si="7"/>
        <v>0</v>
      </c>
      <c r="I72" s="100"/>
      <c r="J72" s="98"/>
      <c r="K72" s="98">
        <v>-100000</v>
      </c>
      <c r="L72" s="98"/>
      <c r="M72" s="98"/>
      <c r="N72" s="98"/>
      <c r="O72" s="98">
        <v>-39246</v>
      </c>
      <c r="P72" s="136">
        <v>40441</v>
      </c>
      <c r="Q72" s="58" t="s">
        <v>80</v>
      </c>
      <c r="R72" s="138" t="s">
        <v>168</v>
      </c>
      <c r="S72" s="100">
        <v>0</v>
      </c>
      <c r="T72" s="100">
        <v>0</v>
      </c>
      <c r="U72" s="97">
        <f t="shared" si="8"/>
        <v>0</v>
      </c>
    </row>
    <row r="73" spans="2:21" ht="25.5">
      <c r="B73" s="322"/>
      <c r="C73" s="88"/>
      <c r="D73" s="84"/>
      <c r="E73" s="224"/>
      <c r="F73" s="84"/>
      <c r="G73" s="100"/>
      <c r="H73" s="100">
        <f t="shared" si="7"/>
        <v>0</v>
      </c>
      <c r="I73" s="97"/>
      <c r="J73" s="98">
        <v>-79834</v>
      </c>
      <c r="K73" s="98">
        <v>0</v>
      </c>
      <c r="L73" s="98"/>
      <c r="M73" s="98">
        <v>0</v>
      </c>
      <c r="N73" s="98"/>
      <c r="O73" s="98"/>
      <c r="P73" s="136">
        <v>40625</v>
      </c>
      <c r="Q73" s="58" t="s">
        <v>80</v>
      </c>
      <c r="R73" s="131" t="s">
        <v>169</v>
      </c>
      <c r="S73" s="97">
        <v>0</v>
      </c>
      <c r="T73" s="100">
        <v>0</v>
      </c>
      <c r="U73" s="97">
        <f t="shared" si="8"/>
        <v>0</v>
      </c>
    </row>
    <row r="74" spans="2:21" ht="12.75">
      <c r="B74" s="322"/>
      <c r="C74" s="88"/>
      <c r="D74" s="84"/>
      <c r="E74" s="224"/>
      <c r="F74" s="84"/>
      <c r="G74" s="100"/>
      <c r="H74" s="100">
        <f t="shared" si="7"/>
        <v>0</v>
      </c>
      <c r="I74" s="97"/>
      <c r="J74" s="98"/>
      <c r="K74" s="98">
        <v>-100000</v>
      </c>
      <c r="L74" s="98"/>
      <c r="M74" s="98"/>
      <c r="N74" s="98"/>
      <c r="O74" s="98">
        <v>30000</v>
      </c>
      <c r="P74" s="99"/>
      <c r="Q74" s="58" t="s">
        <v>80</v>
      </c>
      <c r="R74" s="131" t="s">
        <v>170</v>
      </c>
      <c r="S74" s="97">
        <v>0</v>
      </c>
      <c r="T74" s="100">
        <v>0</v>
      </c>
      <c r="U74" s="97">
        <f t="shared" si="8"/>
        <v>0</v>
      </c>
    </row>
    <row r="75" spans="2:21" ht="25.5">
      <c r="B75" s="322"/>
      <c r="C75" s="88"/>
      <c r="D75" s="84"/>
      <c r="E75" s="224"/>
      <c r="F75" s="84"/>
      <c r="G75" s="100"/>
      <c r="H75" s="100">
        <f t="shared" si="7"/>
        <v>0</v>
      </c>
      <c r="I75" s="97"/>
      <c r="J75" s="98"/>
      <c r="K75" s="98"/>
      <c r="L75" s="98"/>
      <c r="M75" s="98"/>
      <c r="N75" s="98"/>
      <c r="O75" s="98">
        <v>15533</v>
      </c>
      <c r="P75" s="136">
        <v>40568</v>
      </c>
      <c r="Q75" s="58" t="s">
        <v>80</v>
      </c>
      <c r="R75" s="131" t="s">
        <v>171</v>
      </c>
      <c r="S75" s="97">
        <v>0</v>
      </c>
      <c r="T75" s="100">
        <v>0</v>
      </c>
      <c r="U75" s="97">
        <f t="shared" si="8"/>
        <v>0</v>
      </c>
    </row>
    <row r="76" spans="2:21" ht="12.75">
      <c r="B76" s="322"/>
      <c r="C76" s="88"/>
      <c r="D76" s="84"/>
      <c r="E76" s="224"/>
      <c r="F76" s="84"/>
      <c r="G76" s="100"/>
      <c r="H76" s="100">
        <f t="shared" si="7"/>
        <v>0</v>
      </c>
      <c r="I76" s="97"/>
      <c r="J76" s="98"/>
      <c r="K76" s="98"/>
      <c r="L76" s="98"/>
      <c r="M76" s="98"/>
      <c r="N76" s="98"/>
      <c r="O76" s="98">
        <v>166161</v>
      </c>
      <c r="P76" s="136">
        <v>40492</v>
      </c>
      <c r="Q76" s="58" t="s">
        <v>80</v>
      </c>
      <c r="R76" s="131" t="s">
        <v>172</v>
      </c>
      <c r="S76" s="97">
        <v>0</v>
      </c>
      <c r="T76" s="100">
        <v>0</v>
      </c>
      <c r="U76" s="97">
        <f t="shared" si="8"/>
        <v>0</v>
      </c>
    </row>
    <row r="77" spans="2:21" ht="25.5">
      <c r="B77" s="323"/>
      <c r="C77" s="88"/>
      <c r="D77" s="84"/>
      <c r="E77" s="224"/>
      <c r="F77" s="84"/>
      <c r="G77" s="100"/>
      <c r="H77" s="100">
        <f t="shared" si="7"/>
        <v>0</v>
      </c>
      <c r="I77" s="97"/>
      <c r="J77" s="98"/>
      <c r="K77" s="98"/>
      <c r="L77" s="98">
        <v>0</v>
      </c>
      <c r="M77" s="98"/>
      <c r="N77" s="98"/>
      <c r="O77" s="98"/>
      <c r="P77" s="99"/>
      <c r="Q77" s="133" t="s">
        <v>77</v>
      </c>
      <c r="R77" s="138" t="s">
        <v>199</v>
      </c>
      <c r="S77" s="100">
        <v>0</v>
      </c>
      <c r="T77" s="100">
        <v>130000</v>
      </c>
      <c r="U77" s="100">
        <f t="shared" si="8"/>
        <v>-130000</v>
      </c>
    </row>
    <row r="78" spans="2:21" ht="12.75">
      <c r="B78" s="77"/>
      <c r="C78" s="324"/>
      <c r="D78" s="90"/>
      <c r="E78" s="325"/>
      <c r="F78" s="90"/>
      <c r="G78" s="210"/>
      <c r="H78" s="210">
        <f t="shared" si="7"/>
        <v>0</v>
      </c>
      <c r="I78" s="100"/>
      <c r="J78" s="98"/>
      <c r="K78" s="98"/>
      <c r="L78" s="98"/>
      <c r="M78" s="98"/>
      <c r="N78" s="98"/>
      <c r="O78" s="98"/>
      <c r="P78" s="136">
        <v>40491</v>
      </c>
      <c r="Q78" s="133" t="s">
        <v>80</v>
      </c>
      <c r="R78" s="138" t="s">
        <v>142</v>
      </c>
      <c r="S78" s="100">
        <v>0</v>
      </c>
      <c r="T78" s="100">
        <v>0</v>
      </c>
      <c r="U78" s="97">
        <f t="shared" si="8"/>
        <v>0</v>
      </c>
    </row>
    <row r="79" spans="2:21" ht="12.75">
      <c r="B79" s="74"/>
      <c r="C79" s="52"/>
      <c r="D79" s="84"/>
      <c r="E79" s="90"/>
      <c r="F79" s="90"/>
      <c r="G79" s="118">
        <f>SUM(G68:G78)</f>
        <v>0</v>
      </c>
      <c r="H79" s="101">
        <f>SUM(H68:H78)</f>
        <v>0</v>
      </c>
      <c r="I79" s="101">
        <f>SUM(I68:I78)</f>
        <v>0</v>
      </c>
      <c r="J79" s="98"/>
      <c r="K79" s="98"/>
      <c r="L79" s="98"/>
      <c r="M79" s="98"/>
      <c r="N79" s="98"/>
      <c r="O79" s="98"/>
      <c r="P79" s="99"/>
      <c r="Q79" s="57"/>
      <c r="R79" s="131"/>
      <c r="S79" s="101">
        <f>SUM(S68:S78)</f>
        <v>0</v>
      </c>
      <c r="T79" s="101">
        <f>SUM(T68:T78)</f>
        <v>410000</v>
      </c>
      <c r="U79" s="101">
        <f>SUM(U68:U78)</f>
        <v>-410000</v>
      </c>
    </row>
    <row r="80" spans="2:21" ht="12.75">
      <c r="B80" s="74"/>
      <c r="C80" s="52"/>
      <c r="D80" s="84"/>
      <c r="E80" s="84"/>
      <c r="F80" s="84"/>
      <c r="G80" s="106"/>
      <c r="H80" s="106"/>
      <c r="I80" s="106"/>
      <c r="J80" s="98"/>
      <c r="K80" s="98"/>
      <c r="L80" s="98"/>
      <c r="M80" s="98"/>
      <c r="N80" s="98"/>
      <c r="O80" s="98"/>
      <c r="P80" s="99"/>
      <c r="Q80" s="57"/>
      <c r="R80" s="131"/>
      <c r="S80" s="106"/>
      <c r="T80" s="106"/>
      <c r="U80" s="106"/>
    </row>
    <row r="81" spans="2:21" ht="12.75">
      <c r="B81" s="54">
        <v>9</v>
      </c>
      <c r="C81" s="61" t="s">
        <v>112</v>
      </c>
      <c r="D81" s="74"/>
      <c r="E81" s="74"/>
      <c r="F81" s="74"/>
      <c r="G81" s="106"/>
      <c r="H81" s="106"/>
      <c r="I81" s="107"/>
      <c r="J81" s="98"/>
      <c r="K81" s="98"/>
      <c r="L81" s="98"/>
      <c r="M81" s="98"/>
      <c r="N81" s="98"/>
      <c r="O81" s="98"/>
      <c r="P81" s="105"/>
      <c r="Q81" s="55"/>
      <c r="R81" s="137"/>
      <c r="S81" s="106"/>
      <c r="T81" s="106"/>
      <c r="U81" s="107"/>
    </row>
    <row r="82" spans="2:21" ht="38.25">
      <c r="B82" s="79"/>
      <c r="C82" s="52"/>
      <c r="D82" s="84"/>
      <c r="E82" s="224"/>
      <c r="F82" s="84"/>
      <c r="G82" s="100"/>
      <c r="H82" s="100">
        <f>G82-I82</f>
        <v>0</v>
      </c>
      <c r="I82" s="97"/>
      <c r="J82" s="98"/>
      <c r="K82" s="98">
        <v>-1000000</v>
      </c>
      <c r="L82" s="98"/>
      <c r="M82" s="98">
        <v>0</v>
      </c>
      <c r="N82" s="98"/>
      <c r="O82" s="98"/>
      <c r="P82" s="109"/>
      <c r="Q82" s="59" t="s">
        <v>63</v>
      </c>
      <c r="R82" s="131" t="s">
        <v>205</v>
      </c>
      <c r="S82" s="97">
        <v>0</v>
      </c>
      <c r="T82" s="221">
        <v>1000000</v>
      </c>
      <c r="U82" s="97">
        <f>G82-T82</f>
        <v>-1000000</v>
      </c>
    </row>
    <row r="83" spans="2:21" ht="25.5">
      <c r="B83" s="75"/>
      <c r="C83" s="71"/>
      <c r="D83" s="84"/>
      <c r="E83" s="224"/>
      <c r="F83" s="84"/>
      <c r="G83" s="100"/>
      <c r="H83" s="100">
        <f>G83-I83</f>
        <v>0</v>
      </c>
      <c r="I83" s="100"/>
      <c r="J83" s="98">
        <v>-110351</v>
      </c>
      <c r="K83" s="98"/>
      <c r="L83" s="98">
        <v>-50000</v>
      </c>
      <c r="M83" s="98"/>
      <c r="N83" s="98"/>
      <c r="O83" s="98"/>
      <c r="P83" s="136">
        <v>40633</v>
      </c>
      <c r="Q83" s="180" t="s">
        <v>79</v>
      </c>
      <c r="R83" s="138" t="s">
        <v>192</v>
      </c>
      <c r="S83" s="100">
        <v>0</v>
      </c>
      <c r="T83" s="100">
        <v>0</v>
      </c>
      <c r="U83" s="97">
        <f>G83-T83</f>
        <v>0</v>
      </c>
    </row>
    <row r="84" spans="2:21" ht="12.75">
      <c r="B84" s="74"/>
      <c r="D84" s="84"/>
      <c r="E84" s="84"/>
      <c r="F84" s="84"/>
      <c r="G84" s="101">
        <f>SUM(G82:G83)</f>
        <v>0</v>
      </c>
      <c r="H84" s="101">
        <f>SUM(H82:H83)</f>
        <v>0</v>
      </c>
      <c r="I84" s="101">
        <f>SUM(I82:I83)</f>
        <v>0</v>
      </c>
      <c r="J84" s="98"/>
      <c r="K84" s="98"/>
      <c r="L84" s="98"/>
      <c r="M84" s="98"/>
      <c r="N84" s="98"/>
      <c r="O84" s="98"/>
      <c r="P84" s="108"/>
      <c r="Q84" s="57"/>
      <c r="R84" s="131"/>
      <c r="S84" s="101">
        <f>SUM(S82:S83)</f>
        <v>0</v>
      </c>
      <c r="T84" s="101">
        <f>SUM(T82:T83)</f>
        <v>1000000</v>
      </c>
      <c r="U84" s="101">
        <f>SUM(U82:U83)</f>
        <v>-1000000</v>
      </c>
    </row>
    <row r="85" spans="2:21" ht="12.75">
      <c r="B85" s="74"/>
      <c r="C85" s="52"/>
      <c r="D85" s="84"/>
      <c r="E85" s="84"/>
      <c r="F85" s="84"/>
      <c r="G85" s="106"/>
      <c r="H85" s="106"/>
      <c r="I85" s="106"/>
      <c r="J85" s="98"/>
      <c r="K85" s="98"/>
      <c r="L85" s="98"/>
      <c r="M85" s="98"/>
      <c r="N85" s="98"/>
      <c r="O85" s="98"/>
      <c r="P85" s="99"/>
      <c r="Q85" s="57"/>
      <c r="R85" s="131"/>
      <c r="S85" s="106"/>
      <c r="T85" s="106"/>
      <c r="U85" s="106"/>
    </row>
    <row r="86" spans="2:21" ht="12.75">
      <c r="B86" s="54">
        <v>10</v>
      </c>
      <c r="C86" s="61" t="s">
        <v>113</v>
      </c>
      <c r="D86" s="74"/>
      <c r="E86" s="74"/>
      <c r="F86" s="74"/>
      <c r="G86" s="106"/>
      <c r="H86" s="106"/>
      <c r="I86" s="107"/>
      <c r="J86" s="98"/>
      <c r="K86" s="98"/>
      <c r="L86" s="98"/>
      <c r="M86" s="98"/>
      <c r="N86" s="98"/>
      <c r="O86" s="98"/>
      <c r="P86" s="105"/>
      <c r="Q86" s="55"/>
      <c r="R86" s="131"/>
      <c r="S86" s="106"/>
      <c r="T86" s="106"/>
      <c r="U86" s="107"/>
    </row>
    <row r="87" spans="2:21" ht="25.5">
      <c r="B87" s="75"/>
      <c r="C87" s="71"/>
      <c r="D87" s="84"/>
      <c r="E87" s="224"/>
      <c r="F87" s="84"/>
      <c r="G87" s="100"/>
      <c r="H87" s="100">
        <f>G87-I87</f>
        <v>0</v>
      </c>
      <c r="I87" s="97"/>
      <c r="J87" s="98">
        <v>-19298</v>
      </c>
      <c r="K87" s="98"/>
      <c r="L87" s="98"/>
      <c r="M87" s="98"/>
      <c r="N87" s="98"/>
      <c r="O87" s="98"/>
      <c r="P87" s="99"/>
      <c r="Q87" s="180" t="s">
        <v>79</v>
      </c>
      <c r="R87" s="131" t="s">
        <v>193</v>
      </c>
      <c r="S87" s="100">
        <v>0</v>
      </c>
      <c r="T87" s="100">
        <v>150000</v>
      </c>
      <c r="U87" s="97">
        <f>G87-T87</f>
        <v>-150000</v>
      </c>
    </row>
    <row r="88" spans="2:21" ht="12.75">
      <c r="B88" s="79"/>
      <c r="C88" s="52"/>
      <c r="D88" s="84"/>
      <c r="E88" s="224"/>
      <c r="F88" s="84"/>
      <c r="G88" s="100"/>
      <c r="H88" s="100">
        <f>G88-I88</f>
        <v>0</v>
      </c>
      <c r="I88" s="97"/>
      <c r="J88" s="98"/>
      <c r="K88" s="98"/>
      <c r="L88" s="98"/>
      <c r="M88" s="98"/>
      <c r="N88" s="98"/>
      <c r="O88" s="98">
        <v>68745</v>
      </c>
      <c r="P88" s="136">
        <v>40535</v>
      </c>
      <c r="Q88" s="180" t="s">
        <v>79</v>
      </c>
      <c r="R88" s="131" t="s">
        <v>151</v>
      </c>
      <c r="S88" s="100">
        <v>0</v>
      </c>
      <c r="T88" s="100">
        <v>0</v>
      </c>
      <c r="U88" s="97">
        <f>G88-T88</f>
        <v>0</v>
      </c>
    </row>
    <row r="89" spans="2:21" ht="12.75">
      <c r="B89" s="74"/>
      <c r="D89" s="84"/>
      <c r="E89" s="84"/>
      <c r="F89" s="84"/>
      <c r="G89" s="101">
        <f>SUM(G87:G88)</f>
        <v>0</v>
      </c>
      <c r="H89" s="101">
        <f>SUM(H87:H88)</f>
        <v>0</v>
      </c>
      <c r="I89" s="101">
        <f>SUM(I87:I88)</f>
        <v>0</v>
      </c>
      <c r="J89" s="98"/>
      <c r="K89" s="98"/>
      <c r="L89" s="98"/>
      <c r="M89" s="98"/>
      <c r="N89" s="98"/>
      <c r="O89" s="98"/>
      <c r="P89" s="108"/>
      <c r="Q89" s="57"/>
      <c r="R89" s="131"/>
      <c r="S89" s="101">
        <f>SUM(S87:S88)</f>
        <v>0</v>
      </c>
      <c r="T89" s="101">
        <f>SUM(T87:T88)</f>
        <v>150000</v>
      </c>
      <c r="U89" s="101">
        <f>SUM(U87:U88)</f>
        <v>-150000</v>
      </c>
    </row>
    <row r="90" spans="2:21" ht="12.75">
      <c r="B90" s="74"/>
      <c r="C90" s="52"/>
      <c r="D90" s="84"/>
      <c r="E90" s="84"/>
      <c r="F90" s="84"/>
      <c r="G90" s="106"/>
      <c r="H90" s="106"/>
      <c r="I90" s="106"/>
      <c r="J90" s="98"/>
      <c r="K90" s="98"/>
      <c r="L90" s="98"/>
      <c r="M90" s="98"/>
      <c r="N90" s="98"/>
      <c r="O90" s="98"/>
      <c r="P90" s="99"/>
      <c r="Q90" s="57"/>
      <c r="R90" s="131"/>
      <c r="S90" s="106"/>
      <c r="T90" s="106"/>
      <c r="U90" s="106"/>
    </row>
    <row r="91" spans="2:21" ht="12.75">
      <c r="B91" s="54">
        <v>11</v>
      </c>
      <c r="C91" s="61" t="s">
        <v>114</v>
      </c>
      <c r="D91" s="74"/>
      <c r="E91" s="74"/>
      <c r="F91" s="74"/>
      <c r="G91" s="106"/>
      <c r="H91" s="106"/>
      <c r="I91" s="107"/>
      <c r="J91" s="98"/>
      <c r="K91" s="98"/>
      <c r="L91" s="98"/>
      <c r="M91" s="98"/>
      <c r="N91" s="98"/>
      <c r="O91" s="98"/>
      <c r="P91" s="105"/>
      <c r="Q91" s="55"/>
      <c r="R91" s="131"/>
      <c r="S91" s="106"/>
      <c r="T91" s="106"/>
      <c r="U91" s="107"/>
    </row>
    <row r="92" spans="2:21" ht="25.5">
      <c r="B92" s="125"/>
      <c r="C92" s="92"/>
      <c r="D92" s="89"/>
      <c r="E92" s="224"/>
      <c r="F92" s="89"/>
      <c r="G92" s="110"/>
      <c r="H92" s="110">
        <f>G92-I92</f>
        <v>0</v>
      </c>
      <c r="I92" s="111"/>
      <c r="J92" s="112"/>
      <c r="K92" s="112"/>
      <c r="L92" s="112"/>
      <c r="M92" s="112"/>
      <c r="N92" s="112"/>
      <c r="O92" s="112">
        <v>5990</v>
      </c>
      <c r="P92" s="113"/>
      <c r="Q92" s="58" t="s">
        <v>80</v>
      </c>
      <c r="R92" s="131" t="s">
        <v>173</v>
      </c>
      <c r="S92" s="111">
        <v>0</v>
      </c>
      <c r="T92" s="110">
        <v>0</v>
      </c>
      <c r="U92" s="97">
        <f>G92-T92</f>
        <v>0</v>
      </c>
    </row>
    <row r="93" spans="2:21" ht="38.25">
      <c r="B93" s="77"/>
      <c r="C93" s="93"/>
      <c r="D93" s="94"/>
      <c r="E93" s="224"/>
      <c r="F93" s="94"/>
      <c r="G93" s="114"/>
      <c r="H93" s="114">
        <f>G93-I93</f>
        <v>0</v>
      </c>
      <c r="I93" s="115"/>
      <c r="J93" s="116"/>
      <c r="K93" s="116"/>
      <c r="L93" s="116"/>
      <c r="M93" s="116"/>
      <c r="N93" s="116"/>
      <c r="O93" s="116">
        <v>400000</v>
      </c>
      <c r="P93" s="117"/>
      <c r="Q93" s="180" t="s">
        <v>79</v>
      </c>
      <c r="R93" s="138" t="s">
        <v>188</v>
      </c>
      <c r="S93" s="114">
        <v>0</v>
      </c>
      <c r="T93" s="114">
        <v>400000</v>
      </c>
      <c r="U93" s="97">
        <f>G93-T93</f>
        <v>-400000</v>
      </c>
    </row>
    <row r="94" spans="2:21" ht="12.75">
      <c r="B94" s="87"/>
      <c r="D94" s="90"/>
      <c r="E94" s="90"/>
      <c r="F94" s="90"/>
      <c r="G94" s="118">
        <f>SUM(G92:G93)</f>
        <v>0</v>
      </c>
      <c r="H94" s="118">
        <f>SUM(H92:H93)</f>
        <v>0</v>
      </c>
      <c r="I94" s="118">
        <f>SUM(I92:I93)</f>
        <v>0</v>
      </c>
      <c r="J94" s="119"/>
      <c r="K94" s="119"/>
      <c r="L94" s="119"/>
      <c r="M94" s="119"/>
      <c r="N94" s="119"/>
      <c r="O94" s="119"/>
      <c r="P94" s="120"/>
      <c r="Q94" s="91"/>
      <c r="R94" s="131"/>
      <c r="S94" s="118">
        <f>SUM(S92:S93)</f>
        <v>0</v>
      </c>
      <c r="T94" s="118">
        <f>SUM(T92:T93)</f>
        <v>400000</v>
      </c>
      <c r="U94" s="118">
        <f>SUM(U92:U93)</f>
        <v>-400000</v>
      </c>
    </row>
    <row r="95" spans="2:21" ht="12.75">
      <c r="B95" s="74"/>
      <c r="C95" s="52"/>
      <c r="D95" s="84"/>
      <c r="E95" s="84"/>
      <c r="F95" s="84"/>
      <c r="G95" s="106"/>
      <c r="H95" s="106"/>
      <c r="I95" s="106"/>
      <c r="J95" s="98"/>
      <c r="K95" s="98"/>
      <c r="L95" s="98"/>
      <c r="M95" s="98"/>
      <c r="N95" s="98"/>
      <c r="O95" s="98"/>
      <c r="P95" s="99"/>
      <c r="Q95" s="57"/>
      <c r="R95" s="131"/>
      <c r="S95" s="106"/>
      <c r="T95" s="106"/>
      <c r="U95" s="106"/>
    </row>
    <row r="96" spans="2:21" ht="12.75">
      <c r="B96" s="54">
        <v>12</v>
      </c>
      <c r="C96" s="61" t="s">
        <v>115</v>
      </c>
      <c r="D96" s="74"/>
      <c r="E96" s="74"/>
      <c r="F96" s="74"/>
      <c r="G96" s="106"/>
      <c r="H96" s="106"/>
      <c r="I96" s="107"/>
      <c r="J96" s="98"/>
      <c r="K96" s="98"/>
      <c r="L96" s="98"/>
      <c r="M96" s="98"/>
      <c r="N96" s="98"/>
      <c r="O96" s="98"/>
      <c r="P96" s="105"/>
      <c r="Q96" s="55"/>
      <c r="R96" s="137"/>
      <c r="S96" s="106"/>
      <c r="T96" s="106"/>
      <c r="U96" s="107"/>
    </row>
    <row r="97" spans="2:21" ht="25.5">
      <c r="B97" s="79"/>
      <c r="C97" s="62"/>
      <c r="D97" s="94"/>
      <c r="E97" s="224"/>
      <c r="F97" s="84"/>
      <c r="G97" s="100"/>
      <c r="H97" s="114">
        <f>G97-I97</f>
        <v>0</v>
      </c>
      <c r="I97" s="97"/>
      <c r="J97" s="98"/>
      <c r="K97" s="98"/>
      <c r="L97" s="98"/>
      <c r="M97" s="98"/>
      <c r="N97" s="98"/>
      <c r="O97" s="98"/>
      <c r="P97" s="109"/>
      <c r="Q97" s="58" t="s">
        <v>80</v>
      </c>
      <c r="R97" s="131" t="s">
        <v>174</v>
      </c>
      <c r="S97" s="97">
        <v>0</v>
      </c>
      <c r="T97" s="100">
        <v>0</v>
      </c>
      <c r="U97" s="97">
        <f>G97-T97</f>
        <v>0</v>
      </c>
    </row>
    <row r="98" spans="2:21" ht="12.75">
      <c r="B98" s="79"/>
      <c r="C98" s="62"/>
      <c r="D98" s="94"/>
      <c r="E98" s="224"/>
      <c r="F98" s="84"/>
      <c r="G98" s="100"/>
      <c r="H98" s="114">
        <f>G98-I98</f>
        <v>0</v>
      </c>
      <c r="I98" s="97"/>
      <c r="J98" s="98">
        <v>-8568</v>
      </c>
      <c r="K98" s="98"/>
      <c r="L98" s="98"/>
      <c r="M98" s="98"/>
      <c r="N98" s="98"/>
      <c r="O98" s="98"/>
      <c r="P98" s="136">
        <v>40563</v>
      </c>
      <c r="Q98" s="58" t="s">
        <v>80</v>
      </c>
      <c r="R98" s="131" t="s">
        <v>175</v>
      </c>
      <c r="S98" s="97">
        <v>0</v>
      </c>
      <c r="T98" s="100">
        <v>0</v>
      </c>
      <c r="U98" s="97">
        <f>G98-T98</f>
        <v>0</v>
      </c>
    </row>
    <row r="99" spans="2:21" ht="12.75">
      <c r="B99" s="79"/>
      <c r="C99" s="52"/>
      <c r="D99" s="94"/>
      <c r="E99" s="224"/>
      <c r="F99" s="84"/>
      <c r="G99" s="100"/>
      <c r="H99" s="114">
        <f>G99-I99</f>
        <v>0</v>
      </c>
      <c r="I99" s="97"/>
      <c r="J99" s="98">
        <v>0</v>
      </c>
      <c r="K99" s="98"/>
      <c r="L99" s="98"/>
      <c r="M99" s="98"/>
      <c r="N99" s="98"/>
      <c r="O99" s="98">
        <v>21075</v>
      </c>
      <c r="P99" s="136">
        <v>40563</v>
      </c>
      <c r="Q99" s="58" t="s">
        <v>80</v>
      </c>
      <c r="R99" s="131" t="s">
        <v>175</v>
      </c>
      <c r="S99" s="97">
        <v>0</v>
      </c>
      <c r="T99" s="100">
        <v>0</v>
      </c>
      <c r="U99" s="97">
        <f>G99-T99</f>
        <v>0</v>
      </c>
    </row>
    <row r="100" spans="2:21" s="140" customFormat="1" ht="12.75">
      <c r="B100" s="79"/>
      <c r="C100" s="131"/>
      <c r="D100" s="132"/>
      <c r="E100" s="224"/>
      <c r="F100" s="209"/>
      <c r="G100" s="100"/>
      <c r="H100" s="114">
        <f>G100-I100</f>
        <v>0</v>
      </c>
      <c r="I100" s="100"/>
      <c r="J100" s="98"/>
      <c r="K100" s="98"/>
      <c r="L100" s="98"/>
      <c r="M100" s="98"/>
      <c r="N100" s="98"/>
      <c r="O100" s="98">
        <v>31183</v>
      </c>
      <c r="P100" s="109"/>
      <c r="Q100" s="133" t="s">
        <v>80</v>
      </c>
      <c r="R100" s="131" t="s">
        <v>176</v>
      </c>
      <c r="S100" s="100">
        <v>0</v>
      </c>
      <c r="T100" s="100">
        <v>0</v>
      </c>
      <c r="U100" s="97">
        <f>G100-T100</f>
        <v>0</v>
      </c>
    </row>
    <row r="101" spans="2:21" ht="12.75">
      <c r="B101" s="74"/>
      <c r="C101" s="52"/>
      <c r="D101" s="84"/>
      <c r="E101" s="84"/>
      <c r="F101" s="84"/>
      <c r="G101" s="101">
        <f>SUM(G97:G100)</f>
        <v>0</v>
      </c>
      <c r="H101" s="101">
        <f>SUM(H97:H100)</f>
        <v>0</v>
      </c>
      <c r="I101" s="101">
        <f>SUM(I97:I100)</f>
        <v>0</v>
      </c>
      <c r="J101" s="98"/>
      <c r="K101" s="98"/>
      <c r="L101" s="98"/>
      <c r="M101" s="98"/>
      <c r="N101" s="98"/>
      <c r="O101" s="98"/>
      <c r="P101" s="108"/>
      <c r="Q101" s="57"/>
      <c r="R101" s="131"/>
      <c r="S101" s="101">
        <f>SUM(S97:S100)</f>
        <v>0</v>
      </c>
      <c r="T101" s="101">
        <f>SUM(T97:T100)</f>
        <v>0</v>
      </c>
      <c r="U101" s="101">
        <f>SUM(U97:U100)</f>
        <v>0</v>
      </c>
    </row>
    <row r="102" spans="2:21" ht="12.75">
      <c r="B102" s="74"/>
      <c r="C102" s="52"/>
      <c r="D102" s="84"/>
      <c r="E102" s="84"/>
      <c r="F102" s="84"/>
      <c r="G102" s="101"/>
      <c r="H102" s="101"/>
      <c r="I102" s="101"/>
      <c r="J102" s="98"/>
      <c r="K102" s="98"/>
      <c r="L102" s="98"/>
      <c r="M102" s="98"/>
      <c r="N102" s="98"/>
      <c r="O102" s="98"/>
      <c r="P102" s="108"/>
      <c r="Q102" s="57"/>
      <c r="R102" s="131"/>
      <c r="S102" s="101"/>
      <c r="T102" s="101"/>
      <c r="U102" s="101"/>
    </row>
    <row r="103" spans="2:21" ht="12.75">
      <c r="B103" s="54">
        <v>13</v>
      </c>
      <c r="C103" s="61" t="s">
        <v>116</v>
      </c>
      <c r="D103" s="74"/>
      <c r="E103" s="74"/>
      <c r="F103" s="74"/>
      <c r="G103" s="106"/>
      <c r="H103" s="106"/>
      <c r="I103" s="107"/>
      <c r="J103" s="98"/>
      <c r="K103" s="98"/>
      <c r="L103" s="98"/>
      <c r="M103" s="98"/>
      <c r="N103" s="98"/>
      <c r="O103" s="98"/>
      <c r="P103" s="105"/>
      <c r="Q103" s="55"/>
      <c r="R103" s="137"/>
      <c r="S103" s="106"/>
      <c r="T103" s="106"/>
      <c r="U103" s="107"/>
    </row>
    <row r="104" spans="2:21" ht="12.75">
      <c r="B104" s="126"/>
      <c r="C104" s="95"/>
      <c r="D104" s="94"/>
      <c r="E104" s="224"/>
      <c r="F104" s="84"/>
      <c r="G104" s="110"/>
      <c r="H104" s="110">
        <f>G104-I104</f>
        <v>0</v>
      </c>
      <c r="I104" s="111"/>
      <c r="J104" s="112"/>
      <c r="K104" s="112"/>
      <c r="L104" s="112"/>
      <c r="M104" s="112"/>
      <c r="N104" s="112"/>
      <c r="O104" s="112"/>
      <c r="P104" s="281">
        <v>40574</v>
      </c>
      <c r="Q104" s="96" t="s">
        <v>78</v>
      </c>
      <c r="R104" s="290" t="s">
        <v>142</v>
      </c>
      <c r="S104" s="111">
        <v>0</v>
      </c>
      <c r="T104" s="110">
        <v>0</v>
      </c>
      <c r="U104" s="97">
        <f>G104-T104</f>
        <v>0</v>
      </c>
    </row>
    <row r="105" spans="2:21" ht="25.5">
      <c r="B105" s="127"/>
      <c r="C105" s="88"/>
      <c r="D105" s="94"/>
      <c r="E105" s="224"/>
      <c r="F105" s="84"/>
      <c r="G105" s="100"/>
      <c r="H105" s="110">
        <f>G105-I105</f>
        <v>0</v>
      </c>
      <c r="I105" s="97"/>
      <c r="J105" s="98"/>
      <c r="K105" s="98"/>
      <c r="L105" s="98">
        <v>-1000000</v>
      </c>
      <c r="M105" s="98"/>
      <c r="N105" s="98"/>
      <c r="O105" s="98"/>
      <c r="P105" s="99"/>
      <c r="Q105" s="96" t="s">
        <v>78</v>
      </c>
      <c r="R105" s="138" t="s">
        <v>160</v>
      </c>
      <c r="S105" s="100">
        <v>0</v>
      </c>
      <c r="T105" s="100">
        <v>1000000</v>
      </c>
      <c r="U105" s="100">
        <f>G105-T105</f>
        <v>-1000000</v>
      </c>
    </row>
    <row r="106" spans="2:21" ht="12.75">
      <c r="B106" s="128"/>
      <c r="C106" s="52"/>
      <c r="D106" s="84"/>
      <c r="E106" s="84"/>
      <c r="F106" s="84"/>
      <c r="G106" s="101">
        <f>SUM(G104:G105)</f>
        <v>0</v>
      </c>
      <c r="H106" s="101">
        <f>SUM(H104:H105)</f>
        <v>0</v>
      </c>
      <c r="I106" s="101">
        <f>SUM(I104:I105)</f>
        <v>0</v>
      </c>
      <c r="J106" s="98"/>
      <c r="K106" s="98"/>
      <c r="L106" s="98"/>
      <c r="M106" s="98"/>
      <c r="N106" s="98"/>
      <c r="O106" s="98"/>
      <c r="P106" s="99"/>
      <c r="Q106" s="57"/>
      <c r="R106" s="131"/>
      <c r="S106" s="101">
        <f>SUM(S104:S105)</f>
        <v>0</v>
      </c>
      <c r="T106" s="101">
        <f>SUM(T104:T105)</f>
        <v>1000000</v>
      </c>
      <c r="U106" s="101">
        <f>SUM(U104:U105)</f>
        <v>-1000000</v>
      </c>
    </row>
    <row r="107" spans="2:21" ht="12.75">
      <c r="B107" s="128"/>
      <c r="C107" s="52"/>
      <c r="D107" s="84"/>
      <c r="E107" s="84"/>
      <c r="F107" s="84"/>
      <c r="G107" s="101"/>
      <c r="H107" s="101"/>
      <c r="I107" s="101"/>
      <c r="J107" s="98"/>
      <c r="K107" s="98"/>
      <c r="L107" s="98"/>
      <c r="M107" s="98"/>
      <c r="N107" s="98"/>
      <c r="O107" s="98"/>
      <c r="P107" s="99"/>
      <c r="Q107" s="57"/>
      <c r="R107" s="131"/>
      <c r="S107" s="101"/>
      <c r="T107" s="101"/>
      <c r="U107" s="101"/>
    </row>
    <row r="108" spans="2:21" ht="12.75">
      <c r="B108" s="74"/>
      <c r="D108" s="84"/>
      <c r="E108" s="84"/>
      <c r="F108" s="84"/>
      <c r="G108" s="103"/>
      <c r="H108" s="318"/>
      <c r="I108" s="104"/>
      <c r="J108" s="98"/>
      <c r="K108" s="98"/>
      <c r="L108" s="98"/>
      <c r="M108" s="98"/>
      <c r="N108" s="98"/>
      <c r="O108" s="98"/>
      <c r="P108" s="99"/>
      <c r="Q108" s="57"/>
      <c r="R108" s="131"/>
      <c r="S108" s="104"/>
      <c r="T108" s="104"/>
      <c r="U108" s="104"/>
    </row>
    <row r="109" spans="1:21" s="134" customFormat="1" ht="29.25" customHeight="1" thickBot="1">
      <c r="A109" s="72"/>
      <c r="B109" s="74"/>
      <c r="C109" s="80"/>
      <c r="D109" s="84"/>
      <c r="E109" s="226">
        <f>SUM(E7:E108)</f>
        <v>0</v>
      </c>
      <c r="F109" s="226">
        <f>SUM(F7:F108)</f>
        <v>0</v>
      </c>
      <c r="G109" s="107">
        <f>G13+G31+G35+G43+G49+G61+G65+G79+G84+G89+G94+G101+G106</f>
        <v>0</v>
      </c>
      <c r="H109" s="106">
        <f>H13+H31+H35+H43+H49+H61+H65+H79+H84+H89+H94+H101+H106</f>
        <v>0</v>
      </c>
      <c r="I109" s="107">
        <f>I13+I31+I35+I43+I49+I61+I65+I79+I84+I89+I94+I101+I106</f>
        <v>0</v>
      </c>
      <c r="J109" s="98">
        <f>-SUM(J6:J108)</f>
        <v>1727814</v>
      </c>
      <c r="K109" s="98">
        <f>-SUM(K6:K108)</f>
        <v>2704000</v>
      </c>
      <c r="L109" s="98">
        <f>-SUM(L6:L108)</f>
        <v>0</v>
      </c>
      <c r="M109" s="98">
        <f>-SUM(M6:M108)</f>
        <v>0</v>
      </c>
      <c r="N109" s="98">
        <f>SUM(N6:N108)</f>
        <v>0</v>
      </c>
      <c r="O109" s="98"/>
      <c r="P109" s="121" t="e">
        <f>+H109/G109</f>
        <v>#DIV/0!</v>
      </c>
      <c r="Q109" s="57"/>
      <c r="R109" s="131"/>
      <c r="S109" s="107">
        <f>S13+S31+S35+S43+S49+S61+S65+S79+S84+S89+S94+S101+S106</f>
        <v>0</v>
      </c>
      <c r="T109" s="107">
        <f>T13+T31+T35+T43+T49+T61+T65+T79+T84+T89+T94+T101+T106</f>
        <v>16088590</v>
      </c>
      <c r="U109" s="107">
        <f>U13+U31+U35+U43+U49+U61+U65+U79+U84+U89+U94+U101+U106</f>
        <v>-16088590</v>
      </c>
    </row>
    <row r="110" spans="1:18" s="134" customFormat="1" ht="13.5" thickBot="1">
      <c r="A110" s="72"/>
      <c r="B110" s="141"/>
      <c r="E110" s="354">
        <f>SUM(E109:F109)</f>
        <v>0</v>
      </c>
      <c r="F110" s="355"/>
      <c r="G110" s="142"/>
      <c r="H110" s="319"/>
      <c r="I110" s="297"/>
      <c r="J110" s="143"/>
      <c r="K110" s="143"/>
      <c r="L110" s="143"/>
      <c r="M110" s="143"/>
      <c r="N110" s="143"/>
      <c r="O110" s="143"/>
      <c r="P110" s="144"/>
      <c r="Q110" s="60"/>
      <c r="R110" s="159"/>
    </row>
    <row r="111" spans="1:21" s="147" customFormat="1" ht="15" customHeight="1">
      <c r="A111" s="72"/>
      <c r="B111" s="141"/>
      <c r="C111" s="145" t="s">
        <v>20</v>
      </c>
      <c r="D111" s="141"/>
      <c r="E111" s="141"/>
      <c r="F111" s="141"/>
      <c r="G111" s="146">
        <f>G109</f>
        <v>0</v>
      </c>
      <c r="H111" s="320"/>
      <c r="I111" s="194"/>
      <c r="J111" s="143" t="e">
        <f>G111-#REF!</f>
        <v>#REF!</v>
      </c>
      <c r="K111" s="143"/>
      <c r="L111" s="143"/>
      <c r="M111" s="143"/>
      <c r="N111" s="143"/>
      <c r="O111" s="143"/>
      <c r="P111" s="144"/>
      <c r="Q111" s="60"/>
      <c r="R111" s="148"/>
      <c r="S111" s="146"/>
      <c r="T111" s="216" t="e">
        <f>T109/G109</f>
        <v>#DIV/0!</v>
      </c>
      <c r="U111" s="216" t="e">
        <f>U109/G109</f>
        <v>#DIV/0!</v>
      </c>
    </row>
    <row r="112" spans="1:20" s="147" customFormat="1" ht="15" customHeight="1">
      <c r="A112" s="72"/>
      <c r="B112" s="141"/>
      <c r="C112" s="145" t="s">
        <v>215</v>
      </c>
      <c r="D112" s="141"/>
      <c r="E112" s="141"/>
      <c r="F112" s="141"/>
      <c r="G112" s="146">
        <f>H109</f>
        <v>0</v>
      </c>
      <c r="H112" s="320"/>
      <c r="I112" s="298"/>
      <c r="J112" s="143">
        <f>H109</f>
        <v>0</v>
      </c>
      <c r="K112" s="143"/>
      <c r="L112" s="143"/>
      <c r="M112" s="143"/>
      <c r="N112" s="143"/>
      <c r="O112" s="143"/>
      <c r="P112" s="144"/>
      <c r="Q112" s="60"/>
      <c r="R112" s="148"/>
      <c r="S112" s="149"/>
      <c r="T112" s="149"/>
    </row>
    <row r="113" spans="1:21" s="147" customFormat="1" ht="17.25" customHeight="1">
      <c r="A113" s="72"/>
      <c r="B113" s="141"/>
      <c r="C113" s="145" t="s">
        <v>18</v>
      </c>
      <c r="D113" s="141"/>
      <c r="E113" s="141"/>
      <c r="F113" s="141"/>
      <c r="G113" s="150" t="e">
        <f>G112/G111</f>
        <v>#DIV/0!</v>
      </c>
      <c r="H113" s="320"/>
      <c r="I113" s="298"/>
      <c r="J113" s="288" t="e">
        <f>J112/J111</f>
        <v>#REF!</v>
      </c>
      <c r="K113" s="143"/>
      <c r="L113" s="143"/>
      <c r="M113" s="143"/>
      <c r="N113" s="143"/>
      <c r="O113" s="143"/>
      <c r="P113" s="144"/>
      <c r="Q113" s="60"/>
      <c r="R113" s="148"/>
      <c r="S113" s="72"/>
      <c r="T113" s="72"/>
      <c r="U113" s="146">
        <f>T109+U109</f>
        <v>0</v>
      </c>
    </row>
    <row r="114" spans="1:21" s="147" customFormat="1" ht="20.25" customHeight="1">
      <c r="A114" s="72"/>
      <c r="B114" s="141"/>
      <c r="C114" s="72"/>
      <c r="D114" s="141"/>
      <c r="E114" s="141"/>
      <c r="F114" s="141"/>
      <c r="G114" s="151"/>
      <c r="H114" s="154"/>
      <c r="I114" s="326"/>
      <c r="J114" s="143"/>
      <c r="K114" s="143"/>
      <c r="L114" s="143"/>
      <c r="M114" s="143"/>
      <c r="N114" s="143"/>
      <c r="O114" s="143"/>
      <c r="P114" s="144"/>
      <c r="Q114" s="60"/>
      <c r="R114" s="148"/>
      <c r="S114" s="72"/>
      <c r="T114" s="72"/>
      <c r="U114" s="72"/>
    </row>
    <row r="115" spans="9:21" ht="12.75">
      <c r="I115" s="152"/>
      <c r="S115" s="152"/>
      <c r="T115" s="152"/>
      <c r="U115" s="152"/>
    </row>
    <row r="116" spans="1:21" s="147" customFormat="1" ht="12.75">
      <c r="A116" s="153"/>
      <c r="B116" s="154"/>
      <c r="C116" s="49"/>
      <c r="D116" s="155"/>
      <c r="E116" s="155"/>
      <c r="F116" s="155"/>
      <c r="G116" s="140"/>
      <c r="H116" s="154"/>
      <c r="I116" s="140"/>
      <c r="J116" s="143"/>
      <c r="K116" s="143"/>
      <c r="L116" s="143"/>
      <c r="M116" s="143"/>
      <c r="N116" s="143"/>
      <c r="O116" s="143"/>
      <c r="P116" s="144"/>
      <c r="Q116" s="60"/>
      <c r="R116" s="148"/>
      <c r="S116" s="140"/>
      <c r="T116" s="140"/>
      <c r="U116" s="140"/>
    </row>
    <row r="117" spans="3:21" ht="12.75">
      <c r="C117" s="49"/>
      <c r="D117" s="155"/>
      <c r="E117" s="155"/>
      <c r="F117" s="155"/>
      <c r="G117" s="140"/>
      <c r="I117" s="140"/>
      <c r="S117" s="140"/>
      <c r="T117" s="140"/>
      <c r="U117" s="140"/>
    </row>
    <row r="118" spans="3:21" ht="12.75">
      <c r="C118" s="140"/>
      <c r="D118" s="155"/>
      <c r="E118" s="155"/>
      <c r="F118" s="155"/>
      <c r="G118" s="140"/>
      <c r="I118" s="140"/>
      <c r="S118" s="140"/>
      <c r="T118" s="140"/>
      <c r="U118" s="140"/>
    </row>
    <row r="119" spans="3:21" ht="12.75">
      <c r="C119" s="140"/>
      <c r="D119" s="155"/>
      <c r="E119" s="155"/>
      <c r="F119" s="155"/>
      <c r="G119" s="140"/>
      <c r="I119" s="156"/>
      <c r="S119" s="156"/>
      <c r="T119" s="156"/>
      <c r="U119" s="156"/>
    </row>
    <row r="121" spans="7:8" ht="12.75">
      <c r="G121" s="157"/>
      <c r="H121" s="321">
        <f>H7+H11+H17+H21+H22+H23+H24+H25+H26+H27+H29+H41+H47+H52+H53+H54+H56+H58+H64+H77+H83+H34+H48</f>
        <v>0</v>
      </c>
    </row>
    <row r="123" spans="1:21" s="147" customFormat="1" ht="12.75">
      <c r="A123" s="72"/>
      <c r="B123" s="141"/>
      <c r="C123" s="72"/>
      <c r="D123" s="141"/>
      <c r="E123" s="141"/>
      <c r="F123" s="141"/>
      <c r="G123" s="158"/>
      <c r="H123" s="154"/>
      <c r="I123" s="72"/>
      <c r="J123" s="143"/>
      <c r="K123" s="143"/>
      <c r="L123" s="143"/>
      <c r="M123" s="143"/>
      <c r="N123" s="143"/>
      <c r="O123" s="143"/>
      <c r="P123" s="144"/>
      <c r="Q123" s="60"/>
      <c r="R123" s="148"/>
      <c r="S123" s="72"/>
      <c r="T123" s="72"/>
      <c r="U123" s="72"/>
    </row>
  </sheetData>
  <sheetProtection/>
  <mergeCells count="3">
    <mergeCell ref="B1:R1"/>
    <mergeCell ref="B2:R2"/>
    <mergeCell ref="E110:F110"/>
  </mergeCells>
  <printOptions/>
  <pageMargins left="0.1968503937007874" right="0.2362204724409449" top="0.4724409448818898" bottom="0.35433070866141736" header="0.2755905511811024" footer="0.1968503937007874"/>
  <pageSetup fitToHeight="5" horizontalDpi="300" verticalDpi="300" orientation="portrait" paperSize="9" scale="98" r:id="rId1"/>
  <rowBreaks count="1" manualBreakCount="1">
    <brk id="44" max="20" man="1"/>
  </rowBreaks>
</worksheet>
</file>

<file path=xl/worksheets/sheet3.xml><?xml version="1.0" encoding="utf-8"?>
<worksheet xmlns="http://schemas.openxmlformats.org/spreadsheetml/2006/main" xmlns:r="http://schemas.openxmlformats.org/officeDocument/2006/relationships">
  <sheetPr>
    <pageSetUpPr fitToPage="1"/>
  </sheetPr>
  <dimension ref="A2:L52"/>
  <sheetViews>
    <sheetView view="pageBreakPreview" zoomScale="80" zoomScaleSheetLayoutView="80" zoomScalePageLayoutView="0" workbookViewId="0" topLeftCell="A1">
      <selection activeCell="H1" sqref="H1:I16384"/>
    </sheetView>
  </sheetViews>
  <sheetFormatPr defaultColWidth="8.7109375" defaultRowHeight="12.75"/>
  <cols>
    <col min="1" max="1" width="10.8515625" style="7" customWidth="1"/>
    <col min="2" max="2" width="22.421875" style="7" customWidth="1"/>
    <col min="3" max="3" width="25.140625" style="7" customWidth="1"/>
    <col min="4" max="4" width="17.7109375" style="7" customWidth="1"/>
    <col min="5" max="5" width="16.28125" style="7" customWidth="1"/>
    <col min="6" max="6" width="12.7109375" style="7" customWidth="1"/>
    <col min="7" max="7" width="10.8515625" style="7" customWidth="1"/>
    <col min="8" max="8" width="17.28125" style="7" hidden="1" customWidth="1"/>
    <col min="9" max="9" width="10.57421875" style="211" hidden="1" customWidth="1"/>
    <col min="10" max="16384" width="8.7109375" style="7" customWidth="1"/>
  </cols>
  <sheetData>
    <row r="1" ht="13.5" thickBot="1"/>
    <row r="2" spans="1:12" s="13" customFormat="1" ht="25.5" customHeight="1" thickBot="1" thickTop="1">
      <c r="A2" s="6" t="s">
        <v>31</v>
      </c>
      <c r="B2" s="1"/>
      <c r="C2" s="2"/>
      <c r="D2" s="358">
        <v>40695</v>
      </c>
      <c r="E2" s="359"/>
      <c r="F2" s="360"/>
      <c r="G2" s="361" t="s">
        <v>61</v>
      </c>
      <c r="H2" s="361" t="s">
        <v>66</v>
      </c>
      <c r="I2" s="364" t="s">
        <v>71</v>
      </c>
      <c r="J2" s="10"/>
      <c r="K2" s="11"/>
      <c r="L2" s="12"/>
    </row>
    <row r="3" spans="1:12" s="13" customFormat="1" ht="17.25" thickBot="1" thickTop="1">
      <c r="A3" s="3"/>
      <c r="B3" s="4"/>
      <c r="C3" s="5"/>
      <c r="D3" s="14" t="s">
        <v>32</v>
      </c>
      <c r="E3" s="14" t="s">
        <v>33</v>
      </c>
      <c r="F3" s="14" t="s">
        <v>34</v>
      </c>
      <c r="G3" s="362"/>
      <c r="H3" s="362"/>
      <c r="I3" s="365"/>
      <c r="J3" s="10"/>
      <c r="K3" s="11"/>
      <c r="L3" s="12"/>
    </row>
    <row r="4" spans="1:12" s="13" customFormat="1" ht="17.25" thickBot="1" thickTop="1">
      <c r="A4" s="15" t="s">
        <v>35</v>
      </c>
      <c r="B4" s="16"/>
      <c r="C4" s="17"/>
      <c r="D4" s="14" t="s">
        <v>36</v>
      </c>
      <c r="E4" s="14" t="s">
        <v>36</v>
      </c>
      <c r="F4" s="14" t="s">
        <v>36</v>
      </c>
      <c r="G4" s="363"/>
      <c r="H4" s="363"/>
      <c r="I4" s="366"/>
      <c r="J4" s="10"/>
      <c r="K4" s="11"/>
      <c r="L4" s="12"/>
    </row>
    <row r="5" spans="1:12" s="13" customFormat="1" ht="33" thickBot="1" thickTop="1">
      <c r="A5" s="18"/>
      <c r="B5" s="19" t="s">
        <v>37</v>
      </c>
      <c r="C5" s="20"/>
      <c r="D5" s="21"/>
      <c r="E5" s="21"/>
      <c r="F5" s="21"/>
      <c r="G5" s="22"/>
      <c r="H5" s="8"/>
      <c r="J5" s="10"/>
      <c r="K5" s="11"/>
      <c r="L5" s="12"/>
    </row>
    <row r="6" spans="1:12" s="13" customFormat="1" ht="16.5" thickBot="1" thickTop="1">
      <c r="A6" s="18"/>
      <c r="B6" s="23"/>
      <c r="C6" s="24"/>
      <c r="D6" s="25"/>
      <c r="E6" s="25"/>
      <c r="F6" s="25"/>
      <c r="G6" s="26"/>
      <c r="H6" s="40"/>
      <c r="I6" s="212"/>
      <c r="J6" s="10"/>
      <c r="K6" s="11"/>
      <c r="L6" s="12"/>
    </row>
    <row r="7" spans="1:12" s="13" customFormat="1" ht="16.5" thickBot="1" thickTop="1">
      <c r="A7" s="18" t="s">
        <v>38</v>
      </c>
      <c r="B7" s="356" t="s">
        <v>62</v>
      </c>
      <c r="C7" s="357"/>
      <c r="D7" s="29">
        <v>500000</v>
      </c>
      <c r="E7" s="30">
        <f>Current!H58</f>
        <v>0</v>
      </c>
      <c r="F7" s="31">
        <f aca="true" t="shared" si="0" ref="F7:F17">(E7/D7)</f>
        <v>0</v>
      </c>
      <c r="G7" s="32" t="s">
        <v>25</v>
      </c>
      <c r="H7" s="40"/>
      <c r="I7" s="212"/>
      <c r="J7" s="10"/>
      <c r="K7" s="11"/>
      <c r="L7" s="12"/>
    </row>
    <row r="8" spans="1:12" s="13" customFormat="1" ht="16.5" thickBot="1" thickTop="1">
      <c r="A8" s="18" t="s">
        <v>40</v>
      </c>
      <c r="B8" s="356" t="s">
        <v>41</v>
      </c>
      <c r="C8" s="357"/>
      <c r="D8" s="29">
        <v>1665000</v>
      </c>
      <c r="E8" s="30">
        <f>Current!H53+Current!H57+Current!H70+Current!H77</f>
        <v>0</v>
      </c>
      <c r="F8" s="31">
        <f t="shared" si="0"/>
        <v>0</v>
      </c>
      <c r="G8" s="32" t="s">
        <v>17</v>
      </c>
      <c r="H8" s="40"/>
      <c r="I8" s="212"/>
      <c r="J8" s="10"/>
      <c r="K8" s="11"/>
      <c r="L8" s="12"/>
    </row>
    <row r="9" spans="1:12" s="13" customFormat="1" ht="16.5" thickBot="1" thickTop="1">
      <c r="A9" s="18" t="s">
        <v>42</v>
      </c>
      <c r="B9" s="356" t="s">
        <v>43</v>
      </c>
      <c r="C9" s="357"/>
      <c r="D9" s="29">
        <v>1989806</v>
      </c>
      <c r="E9" s="30">
        <f>Current!H34+Current!H52+Current!H54+Current!H55+Current!H56+Current!H59+Current!H60+Current!H82</f>
        <v>0</v>
      </c>
      <c r="F9" s="31">
        <f t="shared" si="0"/>
        <v>0</v>
      </c>
      <c r="G9" s="32" t="s">
        <v>63</v>
      </c>
      <c r="H9" s="40"/>
      <c r="I9" s="212">
        <f>300000+1000000</f>
        <v>1300000</v>
      </c>
      <c r="J9" s="10"/>
      <c r="K9" s="11"/>
      <c r="L9" s="12"/>
    </row>
    <row r="10" spans="1:12" s="13" customFormat="1" ht="16.5" thickBot="1" thickTop="1">
      <c r="A10" s="18" t="s">
        <v>44</v>
      </c>
      <c r="B10" s="356" t="s">
        <v>45</v>
      </c>
      <c r="C10" s="357"/>
      <c r="D10" s="29">
        <v>2737851</v>
      </c>
      <c r="E10" s="30">
        <f>Current!H38+Current!H39+Current!H40+Current!H41+Current!H83+Current!H87+Current!H88+Current!H93</f>
        <v>0</v>
      </c>
      <c r="F10" s="31">
        <f t="shared" si="0"/>
        <v>0</v>
      </c>
      <c r="G10" s="32" t="s">
        <v>9</v>
      </c>
      <c r="H10" s="48"/>
      <c r="I10" s="212">
        <v>1200000</v>
      </c>
      <c r="J10" s="10"/>
      <c r="K10" s="11"/>
      <c r="L10" s="12"/>
    </row>
    <row r="11" spans="1:12" s="13" customFormat="1" ht="16.5" thickBot="1" thickTop="1">
      <c r="A11" s="18" t="s">
        <v>46</v>
      </c>
      <c r="B11" s="356" t="s">
        <v>47</v>
      </c>
      <c r="C11" s="357"/>
      <c r="D11" s="29">
        <v>4526000</v>
      </c>
      <c r="E11" s="30">
        <f>Current!H46+Current!H47+Current!H48+Current!H104+Current!H105</f>
        <v>0</v>
      </c>
      <c r="F11" s="31">
        <f t="shared" si="0"/>
        <v>0</v>
      </c>
      <c r="G11" s="32" t="s">
        <v>6</v>
      </c>
      <c r="H11" s="49"/>
      <c r="I11" s="212"/>
      <c r="J11" s="10"/>
      <c r="K11" s="11"/>
      <c r="L11" s="12"/>
    </row>
    <row r="12" spans="1:12" s="13" customFormat="1" ht="16.5" thickBot="1" thickTop="1">
      <c r="A12" s="18" t="s">
        <v>48</v>
      </c>
      <c r="B12" s="356" t="s">
        <v>49</v>
      </c>
      <c r="C12" s="357"/>
      <c r="D12" s="29">
        <v>2345998</v>
      </c>
      <c r="E12" s="33">
        <f>Current!H68+Current!H69+Current!H71+Current!H72+Current!H73+Current!H74+Current!H75+Current!H76+Current!H78+Current!H92+Current!H97+Current!H98+Current!H99+Current!H100</f>
        <v>0</v>
      </c>
      <c r="F12" s="31">
        <f t="shared" si="0"/>
        <v>0</v>
      </c>
      <c r="G12" s="32" t="s">
        <v>12</v>
      </c>
      <c r="H12" s="48"/>
      <c r="I12" s="212">
        <f>100000+100000</f>
        <v>200000</v>
      </c>
      <c r="J12" s="10"/>
      <c r="K12" s="11"/>
      <c r="L12" s="12"/>
    </row>
    <row r="13" spans="1:12" s="13" customFormat="1" ht="16.5" thickBot="1" thickTop="1">
      <c r="A13" s="18" t="s">
        <v>50</v>
      </c>
      <c r="B13" s="356" t="s">
        <v>51</v>
      </c>
      <c r="C13" s="357"/>
      <c r="D13" s="29">
        <v>763121</v>
      </c>
      <c r="E13" s="33">
        <f>Current!H8+Current!H9+Current!H10+Current!H11+Current!H12</f>
        <v>0</v>
      </c>
      <c r="F13" s="31">
        <f t="shared" si="0"/>
        <v>0</v>
      </c>
      <c r="G13" s="32" t="s">
        <v>19</v>
      </c>
      <c r="H13" s="49"/>
      <c r="I13" s="212">
        <v>4000</v>
      </c>
      <c r="J13" s="10"/>
      <c r="K13" s="11"/>
      <c r="L13" s="12"/>
    </row>
    <row r="14" spans="1:12" s="13" customFormat="1" ht="16.5" thickBot="1" thickTop="1">
      <c r="A14" s="18" t="s">
        <v>52</v>
      </c>
      <c r="B14" s="27" t="s">
        <v>59</v>
      </c>
      <c r="C14" s="28"/>
      <c r="D14" s="34">
        <v>4014048</v>
      </c>
      <c r="E14" s="35">
        <f>Current!H31</f>
        <v>0</v>
      </c>
      <c r="F14" s="31">
        <f t="shared" si="0"/>
        <v>0</v>
      </c>
      <c r="G14" s="32" t="s">
        <v>17</v>
      </c>
      <c r="H14" s="48"/>
      <c r="I14" s="212"/>
      <c r="J14" s="10"/>
      <c r="K14" s="11"/>
      <c r="L14" s="12"/>
    </row>
    <row r="15" spans="1:12" s="13" customFormat="1" ht="16.5" thickBot="1" thickTop="1">
      <c r="A15" s="18" t="s">
        <v>53</v>
      </c>
      <c r="B15" s="27" t="s">
        <v>60</v>
      </c>
      <c r="C15" s="28"/>
      <c r="D15" s="50">
        <v>300000</v>
      </c>
      <c r="E15" s="30">
        <f>Current!H7</f>
        <v>0</v>
      </c>
      <c r="F15" s="31">
        <f t="shared" si="0"/>
        <v>0</v>
      </c>
      <c r="G15" s="32" t="s">
        <v>19</v>
      </c>
      <c r="H15" s="49"/>
      <c r="I15" s="212"/>
      <c r="J15" s="10"/>
      <c r="K15" s="11"/>
      <c r="L15" s="12"/>
    </row>
    <row r="16" spans="1:12" s="13" customFormat="1" ht="16.5" thickBot="1" thickTop="1">
      <c r="A16" s="18" t="s">
        <v>54</v>
      </c>
      <c r="B16" s="27" t="s">
        <v>55</v>
      </c>
      <c r="C16" s="28"/>
      <c r="D16" s="29">
        <v>2787345.6</v>
      </c>
      <c r="E16" s="30">
        <f>Current!H64</f>
        <v>0</v>
      </c>
      <c r="F16" s="31">
        <f t="shared" si="0"/>
        <v>0</v>
      </c>
      <c r="G16" s="32" t="s">
        <v>6</v>
      </c>
      <c r="H16" s="49"/>
      <c r="I16" s="212"/>
      <c r="J16" s="10"/>
      <c r="K16" s="11"/>
      <c r="L16" s="12"/>
    </row>
    <row r="17" spans="1:12" s="40" customFormat="1" ht="21" customHeight="1" thickBot="1" thickTop="1">
      <c r="A17" s="36"/>
      <c r="B17" s="367" t="s">
        <v>56</v>
      </c>
      <c r="C17" s="368"/>
      <c r="D17" s="37">
        <f>SUM(D7:D16)</f>
        <v>21629169.6</v>
      </c>
      <c r="E17" s="37">
        <f>SUM(E7:E16)</f>
        <v>0</v>
      </c>
      <c r="F17" s="38">
        <f t="shared" si="0"/>
        <v>0</v>
      </c>
      <c r="G17" s="22"/>
      <c r="I17" s="211">
        <f>SUM(I7:I16)</f>
        <v>2704000</v>
      </c>
      <c r="J17" s="10"/>
      <c r="K17" s="11"/>
      <c r="L17" s="39"/>
    </row>
    <row r="18" spans="1:12" s="13" customFormat="1" ht="13.5" thickTop="1">
      <c r="A18" s="41"/>
      <c r="C18" s="41"/>
      <c r="E18" s="42"/>
      <c r="G18" s="43"/>
      <c r="H18" s="8"/>
      <c r="I18" s="212"/>
      <c r="J18" s="10"/>
      <c r="K18" s="11"/>
      <c r="L18" s="12"/>
    </row>
    <row r="19" ht="13.5" thickBot="1">
      <c r="G19" s="44"/>
    </row>
    <row r="20" spans="1:9" ht="21" customHeight="1" thickBot="1" thickTop="1">
      <c r="A20" s="6" t="s">
        <v>31</v>
      </c>
      <c r="B20" s="1"/>
      <c r="C20" s="2"/>
      <c r="D20" s="358">
        <v>40695</v>
      </c>
      <c r="E20" s="359"/>
      <c r="F20" s="360"/>
      <c r="G20" s="361" t="s">
        <v>61</v>
      </c>
      <c r="H20" s="361" t="s">
        <v>66</v>
      </c>
      <c r="I20" s="364" t="s">
        <v>71</v>
      </c>
    </row>
    <row r="21" spans="1:9" ht="17.25" thickBot="1" thickTop="1">
      <c r="A21" s="3"/>
      <c r="B21" s="4"/>
      <c r="C21" s="5"/>
      <c r="D21" s="14" t="s">
        <v>57</v>
      </c>
      <c r="E21" s="14" t="s">
        <v>58</v>
      </c>
      <c r="F21" s="14" t="s">
        <v>34</v>
      </c>
      <c r="G21" s="362"/>
      <c r="H21" s="362"/>
      <c r="I21" s="365"/>
    </row>
    <row r="22" spans="1:9" ht="17.25" thickBot="1" thickTop="1">
      <c r="A22" s="15" t="s">
        <v>35</v>
      </c>
      <c r="B22" s="16"/>
      <c r="C22" s="17"/>
      <c r="D22" s="14" t="s">
        <v>36</v>
      </c>
      <c r="E22" s="14" t="s">
        <v>36</v>
      </c>
      <c r="F22" s="14" t="s">
        <v>36</v>
      </c>
      <c r="G22" s="363"/>
      <c r="H22" s="363"/>
      <c r="I22" s="366"/>
    </row>
    <row r="23" spans="1:7" ht="33" thickBot="1" thickTop="1">
      <c r="A23" s="18"/>
      <c r="B23" s="19" t="s">
        <v>37</v>
      </c>
      <c r="C23" s="20"/>
      <c r="D23" s="21"/>
      <c r="E23" s="21"/>
      <c r="F23" s="21"/>
      <c r="G23" s="22"/>
    </row>
    <row r="24" spans="1:7" ht="16.5" thickBot="1" thickTop="1">
      <c r="A24" s="18"/>
      <c r="B24" s="23"/>
      <c r="C24" s="24"/>
      <c r="D24" s="25"/>
      <c r="E24" s="25"/>
      <c r="F24" s="25"/>
      <c r="G24" s="26"/>
    </row>
    <row r="25" spans="1:7" ht="16.5" customHeight="1" thickBot="1" thickTop="1">
      <c r="A25" s="18" t="s">
        <v>38</v>
      </c>
      <c r="B25" s="356" t="s">
        <v>62</v>
      </c>
      <c r="C25" s="357"/>
      <c r="D25" s="30">
        <v>0</v>
      </c>
      <c r="E25" s="30">
        <f>0</f>
        <v>0</v>
      </c>
      <c r="F25" s="30" t="s">
        <v>39</v>
      </c>
      <c r="G25" s="32" t="s">
        <v>25</v>
      </c>
    </row>
    <row r="26" spans="1:8" ht="16.5" thickBot="1" thickTop="1">
      <c r="A26" s="18" t="s">
        <v>40</v>
      </c>
      <c r="B26" s="356" t="s">
        <v>41</v>
      </c>
      <c r="C26" s="357"/>
      <c r="D26" s="30">
        <v>469742</v>
      </c>
      <c r="E26" s="30" t="e">
        <f>Rollover!#REF!+Rollover!I55</f>
        <v>#REF!</v>
      </c>
      <c r="F26" s="31" t="e">
        <f>(E26/D26)</f>
        <v>#REF!</v>
      </c>
      <c r="G26" s="32" t="s">
        <v>17</v>
      </c>
      <c r="H26" s="45" t="s">
        <v>71</v>
      </c>
    </row>
    <row r="27" spans="1:9" ht="16.5" thickBot="1" thickTop="1">
      <c r="A27" s="18" t="s">
        <v>42</v>
      </c>
      <c r="B27" s="356" t="s">
        <v>43</v>
      </c>
      <c r="C27" s="357"/>
      <c r="D27" s="30">
        <v>1160955</v>
      </c>
      <c r="E27" s="30" t="e">
        <f>Rollover!#REF!+Rollover!#REF!+Rollover!#REF!+Rollover!I45+Rollover!#REF!+Rollover!#REF!</f>
        <v>#REF!</v>
      </c>
      <c r="F27" s="31" t="e">
        <f>(E27/D27)</f>
        <v>#REF!</v>
      </c>
      <c r="G27" s="32" t="s">
        <v>63</v>
      </c>
      <c r="H27" s="45" t="s">
        <v>69</v>
      </c>
      <c r="I27" s="211">
        <f>21996+456834+30467</f>
        <v>509297</v>
      </c>
    </row>
    <row r="28" spans="1:9" ht="25.5" customHeight="1" thickBot="1" thickTop="1">
      <c r="A28" s="18" t="s">
        <v>44</v>
      </c>
      <c r="B28" s="356" t="s">
        <v>45</v>
      </c>
      <c r="C28" s="357"/>
      <c r="D28" s="30">
        <v>4311414</v>
      </c>
      <c r="E28" s="30" t="e">
        <f>Rollover!I31+Rollover!#REF!+Rollover!#REF!+Rollover!I32+Rollover!I33+Rollover!#REF!+Rollover!#REF!+Rollover!#REF!+Rollover!#REF!</f>
        <v>#REF!</v>
      </c>
      <c r="F28" s="31" t="e">
        <f>(E28/D28)</f>
        <v>#REF!</v>
      </c>
      <c r="G28" s="32" t="s">
        <v>9</v>
      </c>
      <c r="H28" s="51" t="s">
        <v>68</v>
      </c>
      <c r="I28" s="211">
        <f>313296+92550+68530</f>
        <v>474376</v>
      </c>
    </row>
    <row r="29" spans="1:9" ht="16.5" thickBot="1" thickTop="1">
      <c r="A29" s="18" t="s">
        <v>46</v>
      </c>
      <c r="B29" s="356" t="s">
        <v>47</v>
      </c>
      <c r="C29" s="357"/>
      <c r="D29" s="30">
        <v>1002527</v>
      </c>
      <c r="E29" s="30" t="e">
        <f>Rollover!#REF!+Rollover!I14+Rollover!I37+Rollover!I39</f>
        <v>#REF!</v>
      </c>
      <c r="F29" s="31" t="e">
        <f>(E29/D29)</f>
        <v>#REF!</v>
      </c>
      <c r="G29" s="32" t="s">
        <v>6</v>
      </c>
      <c r="H29" s="51" t="s">
        <v>71</v>
      </c>
      <c r="I29" s="211">
        <v>17059</v>
      </c>
    </row>
    <row r="30" spans="1:9" ht="27" thickBot="1" thickTop="1">
      <c r="A30" s="18" t="s">
        <v>48</v>
      </c>
      <c r="B30" s="356" t="s">
        <v>49</v>
      </c>
      <c r="C30" s="357"/>
      <c r="D30" s="30">
        <v>1379151</v>
      </c>
      <c r="E30" s="33" t="e">
        <f>Rollover!#REF!+Rollover!#REF!+Rollover!#REF!+Rollover!#REF!+Rollover!#REF!+Rollover!#REF!+Rollover!I56+Rollover!I64</f>
        <v>#REF!</v>
      </c>
      <c r="F30" s="31" t="e">
        <f>(E30/D30)</f>
        <v>#REF!</v>
      </c>
      <c r="G30" s="32" t="s">
        <v>12</v>
      </c>
      <c r="H30" s="47" t="s">
        <v>70</v>
      </c>
      <c r="I30" s="211">
        <f>6400</f>
        <v>6400</v>
      </c>
    </row>
    <row r="31" spans="1:8" ht="16.5" thickBot="1" thickTop="1">
      <c r="A31" s="18" t="s">
        <v>50</v>
      </c>
      <c r="B31" s="356" t="s">
        <v>51</v>
      </c>
      <c r="C31" s="357"/>
      <c r="D31" s="30">
        <v>0</v>
      </c>
      <c r="E31" s="30">
        <f>0</f>
        <v>0</v>
      </c>
      <c r="F31" s="30" t="s">
        <v>39</v>
      </c>
      <c r="G31" s="32" t="s">
        <v>19</v>
      </c>
      <c r="H31" s="47"/>
    </row>
    <row r="32" spans="1:9" ht="16.5" thickBot="1" thickTop="1">
      <c r="A32" s="18" t="s">
        <v>52</v>
      </c>
      <c r="B32" s="27" t="s">
        <v>59</v>
      </c>
      <c r="C32" s="28"/>
      <c r="D32" s="30">
        <v>1304268</v>
      </c>
      <c r="E32" s="30" t="e">
        <f>Rollover!#REF!+Rollover!#REF!</f>
        <v>#REF!</v>
      </c>
      <c r="F32" s="31" t="e">
        <f>(E32/D32)</f>
        <v>#REF!</v>
      </c>
      <c r="G32" s="32" t="s">
        <v>17</v>
      </c>
      <c r="H32" s="47"/>
      <c r="I32" s="211">
        <v>36264</v>
      </c>
    </row>
    <row r="33" spans="1:9" ht="16.5" thickBot="1" thickTop="1">
      <c r="A33" s="18" t="s">
        <v>53</v>
      </c>
      <c r="B33" s="27" t="s">
        <v>60</v>
      </c>
      <c r="C33" s="28"/>
      <c r="D33" s="30">
        <v>117770</v>
      </c>
      <c r="E33" s="30" t="e">
        <f>Rollover!#REF!</f>
        <v>#REF!</v>
      </c>
      <c r="F33" s="31" t="e">
        <f>(E33/D33)</f>
        <v>#REF!</v>
      </c>
      <c r="G33" s="32" t="s">
        <v>19</v>
      </c>
      <c r="H33" s="47"/>
      <c r="I33" s="211">
        <v>18530</v>
      </c>
    </row>
    <row r="34" spans="1:8" ht="16.5" thickBot="1" thickTop="1">
      <c r="A34" s="18" t="s">
        <v>54</v>
      </c>
      <c r="B34" s="27" t="s">
        <v>55</v>
      </c>
      <c r="C34" s="28"/>
      <c r="D34" s="30">
        <v>124121</v>
      </c>
      <c r="E34" s="30" t="e">
        <f>Rollover!#REF!</f>
        <v>#REF!</v>
      </c>
      <c r="F34" s="31" t="e">
        <f>(E34/D34)</f>
        <v>#REF!</v>
      </c>
      <c r="G34" s="32" t="s">
        <v>6</v>
      </c>
      <c r="H34" s="47"/>
    </row>
    <row r="35" spans="1:9" s="45" customFormat="1" ht="20.25" customHeight="1" thickBot="1" thickTop="1">
      <c r="A35" s="36"/>
      <c r="B35" s="367" t="s">
        <v>56</v>
      </c>
      <c r="C35" s="368"/>
      <c r="D35" s="37">
        <f>SUM(D25:D34)</f>
        <v>9869948</v>
      </c>
      <c r="E35" s="37" t="e">
        <f>SUM(E25:E34)</f>
        <v>#REF!</v>
      </c>
      <c r="F35" s="38" t="e">
        <f>E35/D35</f>
        <v>#REF!</v>
      </c>
      <c r="G35" s="22"/>
      <c r="H35" s="46"/>
      <c r="I35" s="211">
        <f>SUM(I25:I34)</f>
        <v>1061926</v>
      </c>
    </row>
    <row r="36" ht="13.5" thickTop="1">
      <c r="H36" s="47"/>
    </row>
    <row r="37" ht="12.75">
      <c r="E37" s="302" t="e">
        <f>E17+E35</f>
        <v>#REF!</v>
      </c>
    </row>
    <row r="38" ht="12.75">
      <c r="B38" s="299" t="s">
        <v>218</v>
      </c>
    </row>
    <row r="39" spans="2:5" ht="12.75">
      <c r="B39" s="7" t="s">
        <v>62</v>
      </c>
      <c r="E39" s="300">
        <f aca="true" t="shared" si="1" ref="E39:E48">E7+E25</f>
        <v>0</v>
      </c>
    </row>
    <row r="40" spans="2:5" ht="12.75">
      <c r="B40" s="7" t="s">
        <v>41</v>
      </c>
      <c r="E40" s="300" t="e">
        <f t="shared" si="1"/>
        <v>#REF!</v>
      </c>
    </row>
    <row r="41" spans="2:5" ht="12.75">
      <c r="B41" s="7" t="s">
        <v>43</v>
      </c>
      <c r="E41" s="300" t="e">
        <f t="shared" si="1"/>
        <v>#REF!</v>
      </c>
    </row>
    <row r="42" spans="2:5" ht="12.75">
      <c r="B42" s="7" t="s">
        <v>45</v>
      </c>
      <c r="E42" s="300" t="e">
        <f t="shared" si="1"/>
        <v>#REF!</v>
      </c>
    </row>
    <row r="43" spans="2:5" ht="12.75">
      <c r="B43" s="7" t="s">
        <v>47</v>
      </c>
      <c r="E43" s="300" t="e">
        <f t="shared" si="1"/>
        <v>#REF!</v>
      </c>
    </row>
    <row r="44" spans="2:5" ht="12.75">
      <c r="B44" s="7" t="s">
        <v>49</v>
      </c>
      <c r="E44" s="300" t="e">
        <f t="shared" si="1"/>
        <v>#REF!</v>
      </c>
    </row>
    <row r="45" spans="2:5" ht="12.75">
      <c r="B45" s="7" t="s">
        <v>51</v>
      </c>
      <c r="E45" s="300">
        <f t="shared" si="1"/>
        <v>0</v>
      </c>
    </row>
    <row r="46" spans="2:5" ht="12.75">
      <c r="B46" s="7" t="s">
        <v>59</v>
      </c>
      <c r="E46" s="300" t="e">
        <f t="shared" si="1"/>
        <v>#REF!</v>
      </c>
    </row>
    <row r="47" spans="2:5" ht="12.75">
      <c r="B47" s="7" t="s">
        <v>60</v>
      </c>
      <c r="E47" s="300" t="e">
        <f t="shared" si="1"/>
        <v>#REF!</v>
      </c>
    </row>
    <row r="48" spans="2:5" ht="13.5" thickBot="1">
      <c r="B48" s="7" t="s">
        <v>55</v>
      </c>
      <c r="E48" s="300" t="e">
        <f t="shared" si="1"/>
        <v>#REF!</v>
      </c>
    </row>
    <row r="49" ht="13.5" thickBot="1">
      <c r="E49" s="301" t="e">
        <f>SUM(E39:E48)</f>
        <v>#REF!</v>
      </c>
    </row>
    <row r="51" spans="2:5" ht="12.75">
      <c r="B51" s="45" t="s">
        <v>219</v>
      </c>
      <c r="E51" s="300" t="e">
        <f>E43+E48</f>
        <v>#REF!</v>
      </c>
    </row>
    <row r="52" spans="2:5" ht="12.75">
      <c r="B52" s="45" t="s">
        <v>220</v>
      </c>
      <c r="E52" s="300" t="e">
        <f>E45+E47</f>
        <v>#REF!</v>
      </c>
    </row>
  </sheetData>
  <sheetProtection/>
  <mergeCells count="24">
    <mergeCell ref="I2:I4"/>
    <mergeCell ref="B8:C8"/>
    <mergeCell ref="B35:C35"/>
    <mergeCell ref="B12:C12"/>
    <mergeCell ref="B13:C13"/>
    <mergeCell ref="B17:C17"/>
    <mergeCell ref="B28:C28"/>
    <mergeCell ref="B30:C30"/>
    <mergeCell ref="B27:C27"/>
    <mergeCell ref="B31:C31"/>
    <mergeCell ref="B25:C25"/>
    <mergeCell ref="B26:C26"/>
    <mergeCell ref="I20:I22"/>
    <mergeCell ref="B29:C29"/>
    <mergeCell ref="H20:H22"/>
    <mergeCell ref="D20:F20"/>
    <mergeCell ref="G20:G22"/>
    <mergeCell ref="B7:C7"/>
    <mergeCell ref="D2:F2"/>
    <mergeCell ref="B9:C9"/>
    <mergeCell ref="B10:C10"/>
    <mergeCell ref="B11:C11"/>
    <mergeCell ref="H2:H4"/>
    <mergeCell ref="G2:G4"/>
  </mergeCells>
  <printOptions/>
  <pageMargins left="0.7480314960629921" right="0.35433070866141736" top="0.31496062992125984" bottom="0.3937007874015748" header="0.2362204724409449" footer="0.2362204724409449"/>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jeaniet</dc:creator>
  <cp:keywords/>
  <dc:description/>
  <cp:lastModifiedBy>nlaubscher</cp:lastModifiedBy>
  <cp:lastPrinted>2011-09-07T07:10:24Z</cp:lastPrinted>
  <dcterms:created xsi:type="dcterms:W3CDTF">2004-11-04T12:33:28Z</dcterms:created>
  <dcterms:modified xsi:type="dcterms:W3CDTF">2012-02-06T06:11:29Z</dcterms:modified>
  <cp:category/>
  <cp:version/>
  <cp:contentType/>
  <cp:contentStatus/>
  <cp:revision>1</cp:revision>
</cp:coreProperties>
</file>